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tables/table3.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xml" ContentType="application/vnd.openxmlformats-officedocument.themeOverrid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34.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xml" ContentType="application/vnd.openxmlformats-officedocument.drawingml.chartshapes+xml"/>
  <Override PartName="/xl/pivotTables/pivotTable35.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36.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2\2022_Q2\"/>
    </mc:Choice>
  </mc:AlternateContent>
  <xr:revisionPtr revIDLastSave="0" documentId="13_ncr:1_{D8B1DA2E-A0EC-4B04-B6C6-F05754E5D11D}" xr6:coauthVersionLast="46" xr6:coauthVersionMax="46" xr10:uidLastSave="{00000000-0000-0000-0000-000000000000}"/>
  <bookViews>
    <workbookView xWindow="-108" yWindow="-108" windowWidth="23256" windowHeight="12576" tabRatio="845" activeTab="2" xr2:uid="{00000000-000D-0000-FFFF-FFFF00000000}"/>
  </bookViews>
  <sheets>
    <sheet name="Guide" sheetId="81" r:id="rId1"/>
    <sheet name="partner" sheetId="131" state="hidden" r:id="rId2"/>
    <sheet name="DATABASE" sheetId="25" r:id="rId3"/>
    <sheet name="Site_DB" sheetId="91" state="hidden" r:id="rId4"/>
    <sheet name="HRP Calculations" sheetId="125" r:id="rId5"/>
    <sheet name="Indicator Summary  Eng" sheetId="129" r:id="rId6"/>
    <sheet name="Indicator Summary  MM" sheetId="120" state="hidden" r:id="rId7"/>
    <sheet name="HRP" sheetId="89" r:id="rId8"/>
    <sheet name="HRP_ref" sheetId="128" state="hidden" r:id="rId9"/>
    <sheet name="Analysis" sheetId="92" r:id="rId10"/>
    <sheet name="Rakhine" sheetId="112" r:id="rId11"/>
    <sheet name="Quarterly Dashboard" sheetId="100" r:id="rId12"/>
    <sheet name="AAP-community Feedback" sheetId="123" state="hidden" r:id="rId13"/>
    <sheet name="By Camps" sheetId="102" r:id="rId14"/>
    <sheet name="Tracking Dashboard" sheetId="114" r:id="rId15"/>
    <sheet name="Lookup" sheetId="32" state="hidden" r:id="rId16"/>
  </sheets>
  <externalReferences>
    <externalReference r:id="rId17"/>
    <externalReference r:id="rId18"/>
    <externalReference r:id="rId19"/>
    <externalReference r:id="rId20"/>
    <externalReference r:id="rId21"/>
  </externalReferences>
  <definedNames>
    <definedName name="_Fill" localSheetId="13"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2" hidden="1">DATABASE!#REF!</definedName>
    <definedName name="_xlnm._FilterDatabase" localSheetId="5" hidden="1">'Indicator Summary  Eng'!$B$2:$F$52</definedName>
    <definedName name="_xlnm._FilterDatabase" localSheetId="15" hidden="1">Lookup!$A$3:$AA$457</definedName>
    <definedName name="_Key1" localSheetId="13" hidden="1">[1]Data!#REF!</definedName>
    <definedName name="_Key1" localSheetId="4" hidden="1">[1]Data!#REF!</definedName>
    <definedName name="_Key1" localSheetId="5" hidden="1">[1]Data!#REF!</definedName>
    <definedName name="_Key1" localSheetId="10"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4" hidden="1">#REF!</definedName>
    <definedName name="a" localSheetId="5" hidden="1">#REF!</definedName>
    <definedName name="a" hidden="1">#REF!</definedName>
    <definedName name="b">[2]!SiteDB6[[#Headers],[Township]]</definedName>
    <definedName name="_xlnm.Print_Area" localSheetId="4">'HRP Calculations'!$A$1:$F$9</definedName>
    <definedName name="_xlnm.Print_Area" localSheetId="5">'Indicator Summary  Eng'!$A$1:$F$59</definedName>
    <definedName name="_xlnm.Print_Area" localSheetId="6">'Indicator Summary  MM'!$A$2:$F$70</definedName>
    <definedName name="_xlnm.Print_Area" localSheetId="10">Rakhine!$A$1:$T$113</definedName>
    <definedName name="_xlnm.Print_Titles" localSheetId="5">'Indicator Summary  Eng'!$1:$2</definedName>
    <definedName name="_xlnm.Print_Titles" localSheetId="6">'Indicator Summary  MM'!$1:$2</definedName>
    <definedName name="Sasha" localSheetId="4" hidden="1">{#N/A,#N/A,FALSE,"Truck Rent"}</definedName>
    <definedName name="Sasha" localSheetId="5"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5">[3]Lookup!$AB$4:$AB$83</definedName>
    <definedName name="State_list">Lookup!$AB$4:$AB$83</definedName>
    <definedName name="Statestart_1" localSheetId="5">[3]Lookup!$AB$3</definedName>
    <definedName name="Statestart_1">Lookup!$AB$3</definedName>
    <definedName name="Township_list" localSheetId="5">[3]!SiteDB6[Township]</definedName>
    <definedName name="Township_list">SiteDB6[Township]</definedName>
    <definedName name="Township_start" localSheetId="5">[3]!SiteDB6[[#Headers],[Township]]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91029"/>
  <pivotCaches>
    <pivotCache cacheId="42" r:id="rId22"/>
    <pivotCache cacheId="43" r:id="rId23"/>
    <pivotCache cacheId="44"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E7" i="25" l="1"/>
  <c r="CE8" i="25"/>
  <c r="CE9" i="25"/>
  <c r="CE10" i="25"/>
  <c r="CE11" i="25"/>
  <c r="CE12" i="25"/>
  <c r="CE13" i="25"/>
  <c r="CE14" i="25"/>
  <c r="CE15" i="25"/>
  <c r="CE16" i="25"/>
  <c r="CE17" i="25"/>
  <c r="CE18" i="25"/>
  <c r="CE19" i="25"/>
  <c r="CE20" i="25"/>
  <c r="CE21" i="25"/>
  <c r="CE22" i="25"/>
  <c r="CE23" i="25"/>
  <c r="CE24" i="25"/>
  <c r="CE25" i="25"/>
  <c r="CE26" i="25"/>
  <c r="CE27" i="25"/>
  <c r="CE28" i="25"/>
  <c r="CE29" i="25"/>
  <c r="CE30" i="25"/>
  <c r="CL30" i="25" s="1"/>
  <c r="CE31" i="25"/>
  <c r="CL31" i="25" s="1"/>
  <c r="CE32" i="25"/>
  <c r="CE33" i="25"/>
  <c r="CL33" i="25" s="1"/>
  <c r="CE34" i="25"/>
  <c r="CL34" i="25" s="1"/>
  <c r="CE35" i="25"/>
  <c r="CL35" i="25" s="1"/>
  <c r="CE36" i="25"/>
  <c r="CE37" i="25"/>
  <c r="CE38" i="25"/>
  <c r="CL38" i="25" s="1"/>
  <c r="CE39" i="25"/>
  <c r="CL39" i="25" s="1"/>
  <c r="CE40" i="25"/>
  <c r="CE41" i="25"/>
  <c r="CL41" i="25" s="1"/>
  <c r="CE42" i="25"/>
  <c r="CL42" i="25" s="1"/>
  <c r="CE43" i="25"/>
  <c r="CE44" i="25"/>
  <c r="CE45" i="25"/>
  <c r="CE46" i="25"/>
  <c r="CL46" i="25" s="1"/>
  <c r="CE47" i="25"/>
  <c r="CL47" i="25" s="1"/>
  <c r="CE48" i="25"/>
  <c r="CL48" i="25" s="1"/>
  <c r="CL29" i="25"/>
  <c r="CL32" i="25"/>
  <c r="CL36" i="25"/>
  <c r="CL37" i="25"/>
  <c r="CL40" i="25"/>
  <c r="CL43" i="25"/>
  <c r="CL44" i="25"/>
  <c r="CL45" i="25"/>
  <c r="CL28" i="25"/>
  <c r="BW28" i="25"/>
  <c r="BV28" i="25" s="1"/>
  <c r="BO28" i="25"/>
  <c r="DC27" i="25" l="1"/>
  <c r="DB27" i="25"/>
  <c r="DC26" i="25"/>
  <c r="DB26" i="25"/>
  <c r="DC25" i="25"/>
  <c r="DB25" i="25"/>
  <c r="DC24" i="25"/>
  <c r="DB24" i="25"/>
  <c r="DC23" i="25"/>
  <c r="DB23" i="25"/>
  <c r="DC22" i="25"/>
  <c r="DB22" i="25"/>
  <c r="DC21" i="25"/>
  <c r="DB21" i="25"/>
  <c r="DC20" i="25"/>
  <c r="DB20" i="25"/>
  <c r="DC19" i="25"/>
  <c r="DB19" i="25"/>
  <c r="DC18" i="25"/>
  <c r="DB18" i="25"/>
  <c r="DC17" i="25"/>
  <c r="DB17" i="25"/>
  <c r="DC16" i="25"/>
  <c r="DB16" i="25"/>
  <c r="DC15" i="25"/>
  <c r="DB15" i="25"/>
  <c r="DC14" i="25"/>
  <c r="DB14" i="25"/>
  <c r="DC12" i="25"/>
  <c r="DB12" i="25"/>
  <c r="DC11" i="25"/>
  <c r="DB11" i="25"/>
  <c r="DC10" i="25"/>
  <c r="DB10" i="25"/>
  <c r="DC9" i="25"/>
  <c r="DB9" i="25"/>
  <c r="DC8" i="25"/>
  <c r="DB8" i="25"/>
  <c r="DC7" i="25"/>
  <c r="DB7" i="25"/>
  <c r="DC48" i="25"/>
  <c r="DB48" i="25"/>
  <c r="DC47" i="25"/>
  <c r="DB47" i="25"/>
  <c r="DC46" i="25"/>
  <c r="DB46" i="25"/>
  <c r="DC45" i="25"/>
  <c r="DB45" i="25"/>
  <c r="DC44" i="25"/>
  <c r="DB44" i="25"/>
  <c r="DC43" i="25"/>
  <c r="DB43" i="25"/>
  <c r="DC42" i="25"/>
  <c r="DB42" i="25"/>
  <c r="DC41" i="25"/>
  <c r="DB41" i="25"/>
  <c r="DC40" i="25"/>
  <c r="DB40" i="25"/>
  <c r="DC39" i="25"/>
  <c r="DB39" i="25"/>
  <c r="DC38" i="25"/>
  <c r="DB38" i="25"/>
  <c r="DC37" i="25"/>
  <c r="DB37" i="25"/>
  <c r="DC36" i="25"/>
  <c r="DB36" i="25"/>
  <c r="DC35" i="25"/>
  <c r="DB35" i="25"/>
  <c r="DC34" i="25"/>
  <c r="DB34" i="25"/>
  <c r="DC33" i="25"/>
  <c r="DB33" i="25"/>
  <c r="DC32" i="25"/>
  <c r="DB32" i="25"/>
  <c r="DC31" i="25"/>
  <c r="DB31" i="25"/>
  <c r="DC30" i="25"/>
  <c r="DB30" i="25"/>
  <c r="DC29" i="25"/>
  <c r="DB29" i="25"/>
  <c r="DC28" i="25"/>
  <c r="DB28" i="25"/>
  <c r="DD25" i="25" l="1"/>
  <c r="DD21" i="25"/>
  <c r="DD14" i="25"/>
  <c r="DD15" i="25"/>
  <c r="DD16" i="25"/>
  <c r="DD46" i="25"/>
  <c r="DD12" i="25"/>
  <c r="DD17" i="25"/>
  <c r="DD18" i="25"/>
  <c r="DD22" i="25"/>
  <c r="DD8" i="25"/>
  <c r="DD24" i="25"/>
  <c r="DD9" i="25"/>
  <c r="DD10" i="25"/>
  <c r="DD26" i="25"/>
  <c r="DD19" i="25"/>
  <c r="DD41" i="25"/>
  <c r="DD45" i="25"/>
  <c r="DD7" i="25"/>
  <c r="DD11" i="25"/>
  <c r="DD27" i="25"/>
  <c r="DD20" i="25"/>
  <c r="DD23" i="25"/>
  <c r="DD47" i="25"/>
  <c r="DD32" i="25"/>
  <c r="DD40" i="25"/>
  <c r="DD48" i="25"/>
  <c r="DD39" i="25"/>
  <c r="DD38" i="25"/>
  <c r="DD31" i="25"/>
  <c r="DD35" i="25"/>
  <c r="DD43" i="25"/>
  <c r="DD33" i="25"/>
  <c r="DD28" i="25"/>
  <c r="DD42" i="25"/>
  <c r="DD29" i="25"/>
  <c r="DD36" i="25"/>
  <c r="DD30" i="25"/>
  <c r="DD37" i="25"/>
  <c r="DD44" i="25"/>
  <c r="DD34" i="25"/>
  <c r="K9" i="25" l="1"/>
  <c r="K12" i="25"/>
  <c r="K21" i="25"/>
  <c r="K14" i="25"/>
  <c r="K7" i="25"/>
  <c r="K15" i="25"/>
  <c r="K13" i="25"/>
  <c r="K16" i="25"/>
  <c r="K22" i="25"/>
  <c r="K27" i="25"/>
  <c r="K25" i="25"/>
  <c r="K17" i="25"/>
  <c r="K10" i="25"/>
  <c r="K11" i="25"/>
  <c r="K23" i="25"/>
  <c r="K19" i="25"/>
  <c r="K18" i="25"/>
  <c r="K24" i="25"/>
  <c r="K20" i="25"/>
  <c r="K26" i="25"/>
  <c r="K29" i="25"/>
  <c r="K28" i="25"/>
  <c r="K32" i="25"/>
  <c r="K43" i="25"/>
  <c r="K37" i="25"/>
  <c r="K38" i="25"/>
  <c r="K47" i="25"/>
  <c r="K30" i="25"/>
  <c r="K31" i="25"/>
  <c r="CF31" i="25" s="1"/>
  <c r="K42" i="25"/>
  <c r="K35" i="25"/>
  <c r="K36" i="25"/>
  <c r="K33" i="25"/>
  <c r="K34" i="25"/>
  <c r="K46" i="25"/>
  <c r="K40" i="25"/>
  <c r="K41" i="25"/>
  <c r="K44" i="25"/>
  <c r="K39" i="25"/>
  <c r="K45" i="25"/>
  <c r="K48" i="25"/>
  <c r="BO33" i="25"/>
  <c r="BR33" i="25" s="1"/>
  <c r="BS33" i="25" s="1"/>
  <c r="BO8" i="25"/>
  <c r="BO9" i="25"/>
  <c r="BO12" i="25"/>
  <c r="BO21" i="25"/>
  <c r="BO14" i="25"/>
  <c r="BO7" i="25"/>
  <c r="BO15" i="25"/>
  <c r="BO13" i="25"/>
  <c r="BO16" i="25"/>
  <c r="BO22" i="25"/>
  <c r="BO27" i="25"/>
  <c r="BO25" i="25"/>
  <c r="BO17" i="25"/>
  <c r="BO10" i="25"/>
  <c r="BO11" i="25"/>
  <c r="BO23" i="25"/>
  <c r="BO19" i="25"/>
  <c r="BO18" i="25"/>
  <c r="BO24" i="25"/>
  <c r="BO20" i="25"/>
  <c r="BO26" i="25"/>
  <c r="BP28" i="25"/>
  <c r="BQ28" i="25" s="1"/>
  <c r="BO38" i="25"/>
  <c r="BP38" i="25" s="1"/>
  <c r="BQ38" i="25" s="1"/>
  <c r="BO29" i="25"/>
  <c r="BR29" i="25" s="1"/>
  <c r="BS29" i="25" s="1"/>
  <c r="BO30" i="25"/>
  <c r="BP30" i="25" s="1"/>
  <c r="BQ30" i="25" s="1"/>
  <c r="BO31" i="25"/>
  <c r="BP31" i="25" s="1"/>
  <c r="BQ31" i="25" s="1"/>
  <c r="BO42" i="25"/>
  <c r="BR42" i="25" s="1"/>
  <c r="BS42" i="25" s="1"/>
  <c r="BO35" i="25"/>
  <c r="BR35" i="25" s="1"/>
  <c r="BS35" i="25" s="1"/>
  <c r="BO36" i="25"/>
  <c r="BR36" i="25" s="1"/>
  <c r="BS36" i="25" s="1"/>
  <c r="BO32" i="25"/>
  <c r="BP32" i="25" s="1"/>
  <c r="BQ32" i="25" s="1"/>
  <c r="BO43" i="25"/>
  <c r="BP43" i="25" s="1"/>
  <c r="BQ43" i="25" s="1"/>
  <c r="BO34" i="25"/>
  <c r="BP34" i="25" s="1"/>
  <c r="BQ34" i="25" s="1"/>
  <c r="BO46" i="25"/>
  <c r="BR46" i="25" s="1"/>
  <c r="BS46" i="25" s="1"/>
  <c r="BO37" i="25"/>
  <c r="BP37" i="25" s="1"/>
  <c r="BQ37" i="25" s="1"/>
  <c r="BO40" i="25"/>
  <c r="BP40" i="25" s="1"/>
  <c r="BQ40" i="25" s="1"/>
  <c r="BO41" i="25"/>
  <c r="BP41" i="25" s="1"/>
  <c r="BQ41" i="25" s="1"/>
  <c r="BO44" i="25"/>
  <c r="BR44" i="25" s="1"/>
  <c r="BS44" i="25" s="1"/>
  <c r="BO39" i="25"/>
  <c r="BP39" i="25" s="1"/>
  <c r="BQ39" i="25" s="1"/>
  <c r="BO45" i="25"/>
  <c r="BP45" i="25" s="1"/>
  <c r="BQ45" i="25" s="1"/>
  <c r="BO47" i="25"/>
  <c r="BR47" i="25" s="1"/>
  <c r="BS47" i="25" s="1"/>
  <c r="BO48" i="25"/>
  <c r="BP48" i="25" s="1"/>
  <c r="BQ48" i="25" s="1"/>
  <c r="BL29" i="25"/>
  <c r="BL30" i="25"/>
  <c r="BL31" i="25"/>
  <c r="BL42" i="25"/>
  <c r="BL35" i="25"/>
  <c r="BL28" i="25"/>
  <c r="BL36" i="25"/>
  <c r="BL32" i="25"/>
  <c r="BL33" i="25"/>
  <c r="BL43" i="25"/>
  <c r="BL34" i="25"/>
  <c r="BL46" i="25"/>
  <c r="BL38" i="25"/>
  <c r="BL37" i="25"/>
  <c r="BL40" i="25"/>
  <c r="BL41" i="25"/>
  <c r="BL44" i="25"/>
  <c r="BL39" i="25"/>
  <c r="BL45" i="25"/>
  <c r="BL47" i="25"/>
  <c r="BL48" i="25"/>
  <c r="BM29" i="25"/>
  <c r="BM30" i="25"/>
  <c r="BM31" i="25"/>
  <c r="BM42" i="25"/>
  <c r="BM35" i="25"/>
  <c r="BM28" i="25"/>
  <c r="BM36" i="25"/>
  <c r="BM32" i="25"/>
  <c r="BM33" i="25"/>
  <c r="BM43" i="25"/>
  <c r="BM34" i="25"/>
  <c r="BM46" i="25"/>
  <c r="BM38" i="25"/>
  <c r="BM37" i="25"/>
  <c r="BM40" i="25"/>
  <c r="BM41" i="25"/>
  <c r="BM44" i="25"/>
  <c r="BM39" i="25"/>
  <c r="BM45" i="25"/>
  <c r="BM47" i="25"/>
  <c r="BM48" i="25"/>
  <c r="BT29" i="25"/>
  <c r="BT30" i="25"/>
  <c r="BT31" i="25"/>
  <c r="BT42" i="25"/>
  <c r="BT35" i="25"/>
  <c r="BT28" i="25"/>
  <c r="BT36" i="25"/>
  <c r="BT32" i="25"/>
  <c r="BT33" i="25"/>
  <c r="BT43" i="25"/>
  <c r="BT34" i="25"/>
  <c r="BT46" i="25"/>
  <c r="BT38" i="25"/>
  <c r="BT37" i="25"/>
  <c r="BT40" i="25"/>
  <c r="BT41" i="25"/>
  <c r="BT44" i="25"/>
  <c r="BT39" i="25"/>
  <c r="BT45" i="25"/>
  <c r="BT47" i="25"/>
  <c r="BT48" i="25"/>
  <c r="BW29" i="25"/>
  <c r="BV29" i="25" s="1"/>
  <c r="CC29" i="25" s="1"/>
  <c r="BW30" i="25"/>
  <c r="BV30" i="25" s="1"/>
  <c r="CC30" i="25" s="1"/>
  <c r="BW31" i="25"/>
  <c r="BV31" i="25" s="1"/>
  <c r="CC31" i="25" s="1"/>
  <c r="BW42" i="25"/>
  <c r="BV42" i="25" s="1"/>
  <c r="CC42" i="25" s="1"/>
  <c r="BW35" i="25"/>
  <c r="BV35" i="25" s="1"/>
  <c r="CC35" i="25" s="1"/>
  <c r="CC28" i="25"/>
  <c r="BW36" i="25"/>
  <c r="BV36" i="25" s="1"/>
  <c r="CC36" i="25" s="1"/>
  <c r="BW32" i="25"/>
  <c r="BV32" i="25" s="1"/>
  <c r="CC32" i="25" s="1"/>
  <c r="BW33" i="25"/>
  <c r="BV33" i="25" s="1"/>
  <c r="CC33" i="25" s="1"/>
  <c r="BW43" i="25"/>
  <c r="BV43" i="25" s="1"/>
  <c r="CC43" i="25" s="1"/>
  <c r="BW34" i="25"/>
  <c r="BV34" i="25" s="1"/>
  <c r="CC34" i="25" s="1"/>
  <c r="BW46" i="25"/>
  <c r="BV46" i="25" s="1"/>
  <c r="CC46" i="25" s="1"/>
  <c r="BW38" i="25"/>
  <c r="BV38" i="25" s="1"/>
  <c r="CC38" i="25" s="1"/>
  <c r="BW37" i="25"/>
  <c r="BV37" i="25" s="1"/>
  <c r="CC37" i="25" s="1"/>
  <c r="BW40" i="25"/>
  <c r="BV40" i="25" s="1"/>
  <c r="CC40" i="25" s="1"/>
  <c r="BW41" i="25"/>
  <c r="BV41" i="25" s="1"/>
  <c r="CC41" i="25" s="1"/>
  <c r="BW44" i="25"/>
  <c r="BV44" i="25" s="1"/>
  <c r="CC44" i="25" s="1"/>
  <c r="BW39" i="25"/>
  <c r="BV39" i="25" s="1"/>
  <c r="CC39" i="25" s="1"/>
  <c r="BW45" i="25"/>
  <c r="BV45" i="25" s="1"/>
  <c r="CC45" i="25" s="1"/>
  <c r="BW47" i="25"/>
  <c r="BV47" i="25" s="1"/>
  <c r="CC47" i="25" s="1"/>
  <c r="BW48" i="25"/>
  <c r="BV48" i="25" s="1"/>
  <c r="CC48" i="25" s="1"/>
  <c r="BX29" i="25"/>
  <c r="BX30" i="25"/>
  <c r="BX31" i="25"/>
  <c r="BX42" i="25"/>
  <c r="BX35" i="25"/>
  <c r="BX28" i="25"/>
  <c r="BX36" i="25"/>
  <c r="BX32" i="25"/>
  <c r="BX33" i="25"/>
  <c r="BX43" i="25"/>
  <c r="BX34" i="25"/>
  <c r="BX46" i="25"/>
  <c r="BX38" i="25"/>
  <c r="BX37" i="25"/>
  <c r="BX40" i="25"/>
  <c r="BX41" i="25"/>
  <c r="BX44" i="25"/>
  <c r="BX39" i="25"/>
  <c r="BX45" i="25"/>
  <c r="BX47" i="25"/>
  <c r="BX48" i="25"/>
  <c r="BY29" i="25"/>
  <c r="CQ29" i="25" s="1"/>
  <c r="BY30" i="25"/>
  <c r="CQ30" i="25" s="1"/>
  <c r="BY31" i="25"/>
  <c r="CQ31" i="25" s="1"/>
  <c r="BY42" i="25"/>
  <c r="CQ42" i="25" s="1"/>
  <c r="BY35" i="25"/>
  <c r="CQ35" i="25" s="1"/>
  <c r="BY28" i="25"/>
  <c r="CQ28" i="25" s="1"/>
  <c r="BY36" i="25"/>
  <c r="CQ36" i="25" s="1"/>
  <c r="BY32" i="25"/>
  <c r="CQ32" i="25" s="1"/>
  <c r="BY33" i="25"/>
  <c r="CQ33" i="25" s="1"/>
  <c r="BY43" i="25"/>
  <c r="CQ43" i="25" s="1"/>
  <c r="BY34" i="25"/>
  <c r="CQ34" i="25" s="1"/>
  <c r="BY46" i="25"/>
  <c r="CQ46" i="25" s="1"/>
  <c r="BY38" i="25"/>
  <c r="CQ38" i="25" s="1"/>
  <c r="BY37" i="25"/>
  <c r="CQ37" i="25" s="1"/>
  <c r="BY40" i="25"/>
  <c r="CQ40" i="25" s="1"/>
  <c r="BY41" i="25"/>
  <c r="CQ41" i="25" s="1"/>
  <c r="BY44" i="25"/>
  <c r="CQ44" i="25" s="1"/>
  <c r="BY39" i="25"/>
  <c r="CQ39" i="25" s="1"/>
  <c r="BY45" i="25"/>
  <c r="CQ45" i="25" s="1"/>
  <c r="BY47" i="25"/>
  <c r="CQ47" i="25" s="1"/>
  <c r="BY48" i="25"/>
  <c r="CQ48" i="25" s="1"/>
  <c r="BZ29" i="25"/>
  <c r="CR29" i="25" s="1"/>
  <c r="BZ30" i="25"/>
  <c r="CR30" i="25" s="1"/>
  <c r="BZ31" i="25"/>
  <c r="CR31" i="25" s="1"/>
  <c r="BZ42" i="25"/>
  <c r="CR42" i="25" s="1"/>
  <c r="BZ35" i="25"/>
  <c r="CR35" i="25" s="1"/>
  <c r="BZ28" i="25"/>
  <c r="CR28" i="25" s="1"/>
  <c r="BZ36" i="25"/>
  <c r="CR36" i="25" s="1"/>
  <c r="BZ32" i="25"/>
  <c r="CR32" i="25" s="1"/>
  <c r="BZ33" i="25"/>
  <c r="CR33" i="25" s="1"/>
  <c r="BZ43" i="25"/>
  <c r="CR43" i="25" s="1"/>
  <c r="BZ34" i="25"/>
  <c r="CR34" i="25" s="1"/>
  <c r="BZ46" i="25"/>
  <c r="CR46" i="25" s="1"/>
  <c r="BZ38" i="25"/>
  <c r="CR38" i="25" s="1"/>
  <c r="BZ37" i="25"/>
  <c r="CR37" i="25" s="1"/>
  <c r="BZ40" i="25"/>
  <c r="CR40" i="25" s="1"/>
  <c r="BZ41" i="25"/>
  <c r="CR41" i="25" s="1"/>
  <c r="BZ44" i="25"/>
  <c r="CR44" i="25" s="1"/>
  <c r="BZ39" i="25"/>
  <c r="CR39" i="25" s="1"/>
  <c r="BZ45" i="25"/>
  <c r="CR45" i="25" s="1"/>
  <c r="BZ47" i="25"/>
  <c r="CR47" i="25" s="1"/>
  <c r="BZ48" i="25"/>
  <c r="CR48" i="25" s="1"/>
  <c r="CD29" i="25"/>
  <c r="CD30" i="25"/>
  <c r="CD31" i="25"/>
  <c r="CD42" i="25"/>
  <c r="CD35" i="25"/>
  <c r="CD28" i="25"/>
  <c r="CD36" i="25"/>
  <c r="CD32" i="25"/>
  <c r="CD33" i="25"/>
  <c r="CD43" i="25"/>
  <c r="CD34" i="25"/>
  <c r="CD46" i="25"/>
  <c r="CD38" i="25"/>
  <c r="CD37" i="25"/>
  <c r="CD40" i="25"/>
  <c r="CD41" i="25"/>
  <c r="CD44" i="25"/>
  <c r="CD39" i="25"/>
  <c r="CD45" i="25"/>
  <c r="CD47" i="25"/>
  <c r="CD48" i="25"/>
  <c r="CF29" i="25"/>
  <c r="CF30" i="25"/>
  <c r="CF42" i="25"/>
  <c r="CF35" i="25"/>
  <c r="CF28" i="25"/>
  <c r="CF36" i="25"/>
  <c r="CF32" i="25"/>
  <c r="CF33" i="25"/>
  <c r="CF43" i="25"/>
  <c r="CF34" i="25"/>
  <c r="CF46" i="25"/>
  <c r="CF38" i="25"/>
  <c r="CF37" i="25"/>
  <c r="CF40" i="25"/>
  <c r="CF41" i="25"/>
  <c r="CF44" i="25"/>
  <c r="CF39" i="25"/>
  <c r="CF45" i="25"/>
  <c r="CF47" i="25"/>
  <c r="CF48" i="25"/>
  <c r="CG29" i="25"/>
  <c r="CG30" i="25"/>
  <c r="CG31" i="25"/>
  <c r="CG42" i="25"/>
  <c r="CG35" i="25"/>
  <c r="CG28" i="25"/>
  <c r="CG36" i="25"/>
  <c r="CG32" i="25"/>
  <c r="CG33" i="25"/>
  <c r="CG43" i="25"/>
  <c r="CG34" i="25"/>
  <c r="CG46" i="25"/>
  <c r="CG38" i="25"/>
  <c r="CG37" i="25"/>
  <c r="CG40" i="25"/>
  <c r="CG41" i="25"/>
  <c r="CG44" i="25"/>
  <c r="CG39" i="25"/>
  <c r="CG45" i="25"/>
  <c r="CG47" i="25"/>
  <c r="CG48" i="25"/>
  <c r="CM29" i="25"/>
  <c r="CM30" i="25"/>
  <c r="CM31" i="25"/>
  <c r="CM42" i="25"/>
  <c r="CM35" i="25"/>
  <c r="CM28" i="25"/>
  <c r="CM36" i="25"/>
  <c r="CM32" i="25"/>
  <c r="CM33" i="25"/>
  <c r="CM43" i="25"/>
  <c r="CM34" i="25"/>
  <c r="CM46" i="25"/>
  <c r="CM38" i="25"/>
  <c r="CM37" i="25"/>
  <c r="CM40" i="25"/>
  <c r="CM41" i="25"/>
  <c r="CM44" i="25"/>
  <c r="CM39" i="25"/>
  <c r="CM45" i="25"/>
  <c r="CM47" i="25"/>
  <c r="CM48" i="25"/>
  <c r="CN29" i="25"/>
  <c r="CN30" i="25"/>
  <c r="CN31" i="25"/>
  <c r="CN42" i="25"/>
  <c r="CN35" i="25"/>
  <c r="CN28" i="25"/>
  <c r="CN36" i="25"/>
  <c r="CN32" i="25"/>
  <c r="CN33" i="25"/>
  <c r="CN43" i="25"/>
  <c r="CN34" i="25"/>
  <c r="CN46" i="25"/>
  <c r="CN38" i="25"/>
  <c r="CN37" i="25"/>
  <c r="CN40" i="25"/>
  <c r="CN41" i="25"/>
  <c r="CN44" i="25"/>
  <c r="CN39" i="25"/>
  <c r="CN45" i="25"/>
  <c r="CN47" i="25"/>
  <c r="CN48" i="25"/>
  <c r="CO29" i="25"/>
  <c r="CO30" i="25"/>
  <c r="CO31" i="25"/>
  <c r="CO42" i="25"/>
  <c r="CO35" i="25"/>
  <c r="CO28" i="25"/>
  <c r="CO36" i="25"/>
  <c r="CO32" i="25"/>
  <c r="CO33" i="25"/>
  <c r="CO43" i="25"/>
  <c r="CO34" i="25"/>
  <c r="CO46" i="25"/>
  <c r="CO38" i="25"/>
  <c r="CO37" i="25"/>
  <c r="CO40" i="25"/>
  <c r="CO41" i="25"/>
  <c r="CO44" i="25"/>
  <c r="CO39" i="25"/>
  <c r="CO45" i="25"/>
  <c r="CO47" i="25"/>
  <c r="CO48" i="25"/>
  <c r="CP29" i="25"/>
  <c r="CP30" i="25"/>
  <c r="CP31" i="25"/>
  <c r="CP42" i="25"/>
  <c r="CP35" i="25"/>
  <c r="CP28" i="25"/>
  <c r="CP36" i="25"/>
  <c r="CP32" i="25"/>
  <c r="CP33" i="25"/>
  <c r="CP43" i="25"/>
  <c r="CP34" i="25"/>
  <c r="CP46" i="25"/>
  <c r="CP38" i="25"/>
  <c r="CP37" i="25"/>
  <c r="CP40" i="25"/>
  <c r="CP41" i="25"/>
  <c r="CP44" i="25"/>
  <c r="CP39" i="25"/>
  <c r="CP45" i="25"/>
  <c r="CP47" i="25"/>
  <c r="CP48" i="25"/>
  <c r="CS29" i="25"/>
  <c r="CS30" i="25"/>
  <c r="CS31" i="25"/>
  <c r="CS42" i="25"/>
  <c r="CS35" i="25"/>
  <c r="CS28" i="25"/>
  <c r="CS36" i="25"/>
  <c r="CS32" i="25"/>
  <c r="CS33" i="25"/>
  <c r="CS43" i="25"/>
  <c r="CS34" i="25"/>
  <c r="CS46" i="25"/>
  <c r="CS38" i="25"/>
  <c r="CS37" i="25"/>
  <c r="CS40" i="25"/>
  <c r="CS41" i="25"/>
  <c r="CS44" i="25"/>
  <c r="CS39" i="25"/>
  <c r="CS45" i="25"/>
  <c r="CS47" i="25"/>
  <c r="CS48" i="25"/>
  <c r="CT29" i="25"/>
  <c r="CT30" i="25"/>
  <c r="CT31" i="25"/>
  <c r="CT42" i="25"/>
  <c r="CT35" i="25"/>
  <c r="CT28" i="25"/>
  <c r="CT36" i="25"/>
  <c r="CT32" i="25"/>
  <c r="CT33" i="25"/>
  <c r="CT43" i="25"/>
  <c r="CT34" i="25"/>
  <c r="CT46" i="25"/>
  <c r="CT38" i="25"/>
  <c r="CT37" i="25"/>
  <c r="CT40" i="25"/>
  <c r="CT41" i="25"/>
  <c r="CT44" i="25"/>
  <c r="CT39" i="25"/>
  <c r="CT45" i="25"/>
  <c r="CT47" i="25"/>
  <c r="CT48" i="25"/>
  <c r="CU29" i="25"/>
  <c r="CA29" i="25" s="1"/>
  <c r="CB29" i="25" s="1"/>
  <c r="CU30" i="25"/>
  <c r="CA30" i="25" s="1"/>
  <c r="CB30" i="25" s="1"/>
  <c r="CU31" i="25"/>
  <c r="CA31" i="25" s="1"/>
  <c r="CB31" i="25" s="1"/>
  <c r="CU42" i="25"/>
  <c r="CA42" i="25" s="1"/>
  <c r="CB42" i="25" s="1"/>
  <c r="CU35" i="25"/>
  <c r="CA35" i="25" s="1"/>
  <c r="CB35" i="25" s="1"/>
  <c r="CU28" i="25"/>
  <c r="CA28" i="25" s="1"/>
  <c r="CB28" i="25" s="1"/>
  <c r="CU36" i="25"/>
  <c r="CA36" i="25" s="1"/>
  <c r="CB36" i="25" s="1"/>
  <c r="CU32" i="25"/>
  <c r="CA32" i="25" s="1"/>
  <c r="CB32" i="25" s="1"/>
  <c r="CU33" i="25"/>
  <c r="CA33" i="25" s="1"/>
  <c r="CB33" i="25" s="1"/>
  <c r="CU43" i="25"/>
  <c r="CA43" i="25" s="1"/>
  <c r="CB43" i="25" s="1"/>
  <c r="CU34" i="25"/>
  <c r="CA34" i="25" s="1"/>
  <c r="CB34" i="25" s="1"/>
  <c r="CU46" i="25"/>
  <c r="CA46" i="25" s="1"/>
  <c r="CB46" i="25" s="1"/>
  <c r="CU38" i="25"/>
  <c r="CA38" i="25" s="1"/>
  <c r="CB38" i="25" s="1"/>
  <c r="CU37" i="25"/>
  <c r="CA37" i="25" s="1"/>
  <c r="CB37" i="25" s="1"/>
  <c r="CU40" i="25"/>
  <c r="CA40" i="25" s="1"/>
  <c r="CB40" i="25" s="1"/>
  <c r="CU41" i="25"/>
  <c r="CA41" i="25" s="1"/>
  <c r="CB41" i="25" s="1"/>
  <c r="CU44" i="25"/>
  <c r="CA44" i="25" s="1"/>
  <c r="CB44" i="25" s="1"/>
  <c r="CU39" i="25"/>
  <c r="CA39" i="25" s="1"/>
  <c r="CB39" i="25" s="1"/>
  <c r="CU45" i="25"/>
  <c r="CA45" i="25" s="1"/>
  <c r="CB45" i="25" s="1"/>
  <c r="CU47" i="25"/>
  <c r="CA47" i="25" s="1"/>
  <c r="CB47" i="25" s="1"/>
  <c r="CU48" i="25"/>
  <c r="CA48" i="25" s="1"/>
  <c r="CB48" i="25" s="1"/>
  <c r="CV29" i="25"/>
  <c r="CV30" i="25"/>
  <c r="CV31" i="25"/>
  <c r="CV42" i="25"/>
  <c r="CV35" i="25"/>
  <c r="CV28" i="25"/>
  <c r="CV36" i="25"/>
  <c r="CV32" i="25"/>
  <c r="CV33" i="25"/>
  <c r="CV43" i="25"/>
  <c r="CV34" i="25"/>
  <c r="CV46" i="25"/>
  <c r="CV38" i="25"/>
  <c r="CV37" i="25"/>
  <c r="CV40" i="25"/>
  <c r="CV41" i="25"/>
  <c r="CV44" i="25"/>
  <c r="CV39" i="25"/>
  <c r="CV45" i="25"/>
  <c r="CV47" i="25"/>
  <c r="CV48" i="25"/>
  <c r="CW29" i="25"/>
  <c r="CW30" i="25"/>
  <c r="CW31" i="25"/>
  <c r="CW42" i="25"/>
  <c r="CW35" i="25"/>
  <c r="CW28" i="25"/>
  <c r="CW36" i="25"/>
  <c r="CW32" i="25"/>
  <c r="CW33" i="25"/>
  <c r="CW43" i="25"/>
  <c r="CW34" i="25"/>
  <c r="CW46" i="25"/>
  <c r="CW38" i="25"/>
  <c r="CW37" i="25"/>
  <c r="CW40" i="25"/>
  <c r="CW41" i="25"/>
  <c r="CW44" i="25"/>
  <c r="CW39" i="25"/>
  <c r="CW45" i="25"/>
  <c r="CW47" i="25"/>
  <c r="CW48" i="25"/>
  <c r="CX29" i="25"/>
  <c r="CX30" i="25"/>
  <c r="CX31" i="25"/>
  <c r="CX42" i="25"/>
  <c r="CX35" i="25"/>
  <c r="CX28" i="25"/>
  <c r="CX36" i="25"/>
  <c r="CX32" i="25"/>
  <c r="CX33" i="25"/>
  <c r="CX43" i="25"/>
  <c r="CX34" i="25"/>
  <c r="CX46" i="25"/>
  <c r="CX38" i="25"/>
  <c r="CX37" i="25"/>
  <c r="CX40" i="25"/>
  <c r="CX41" i="25"/>
  <c r="CX44" i="25"/>
  <c r="CX39" i="25"/>
  <c r="CX45" i="25"/>
  <c r="CX47" i="25"/>
  <c r="CX48" i="25"/>
  <c r="CY29" i="25"/>
  <c r="CY30" i="25"/>
  <c r="CY31" i="25"/>
  <c r="CY42" i="25"/>
  <c r="CY35" i="25"/>
  <c r="CY28" i="25"/>
  <c r="CY36" i="25"/>
  <c r="CY32" i="25"/>
  <c r="CY33" i="25"/>
  <c r="CY43" i="25"/>
  <c r="CY34" i="25"/>
  <c r="CY46" i="25"/>
  <c r="CY38" i="25"/>
  <c r="CY37" i="25"/>
  <c r="CY40" i="25"/>
  <c r="CY41" i="25"/>
  <c r="CY44" i="25"/>
  <c r="CY39" i="25"/>
  <c r="CY45" i="25"/>
  <c r="CY47" i="25"/>
  <c r="CY48" i="25"/>
  <c r="CZ29" i="25"/>
  <c r="CZ30" i="25"/>
  <c r="CZ31" i="25"/>
  <c r="CZ42" i="25"/>
  <c r="CZ35" i="25"/>
  <c r="CZ28" i="25"/>
  <c r="CZ36" i="25"/>
  <c r="CZ32" i="25"/>
  <c r="CZ33" i="25"/>
  <c r="CZ43" i="25"/>
  <c r="CZ34" i="25"/>
  <c r="CZ46" i="25"/>
  <c r="CZ38" i="25"/>
  <c r="CZ37" i="25"/>
  <c r="CZ40" i="25"/>
  <c r="CZ41" i="25"/>
  <c r="CZ44" i="25"/>
  <c r="CZ39" i="25"/>
  <c r="CZ45" i="25"/>
  <c r="CZ47" i="25"/>
  <c r="CZ48" i="25"/>
  <c r="DA29" i="25"/>
  <c r="DA30" i="25"/>
  <c r="DA31" i="25"/>
  <c r="DA42" i="25"/>
  <c r="DA35" i="25"/>
  <c r="DA28" i="25"/>
  <c r="DA36" i="25"/>
  <c r="DA32" i="25"/>
  <c r="DA33" i="25"/>
  <c r="DA43" i="25"/>
  <c r="DA34" i="25"/>
  <c r="DA46" i="25"/>
  <c r="DA38" i="25"/>
  <c r="DA37" i="25"/>
  <c r="DA40" i="25"/>
  <c r="DA41" i="25"/>
  <c r="DA44" i="25"/>
  <c r="DA39" i="25"/>
  <c r="DA45" i="25"/>
  <c r="DA47" i="25"/>
  <c r="DA48" i="25"/>
  <c r="DI29" i="25"/>
  <c r="DI30" i="25"/>
  <c r="DI31" i="25"/>
  <c r="DI42" i="25"/>
  <c r="DI35" i="25"/>
  <c r="DI28" i="25"/>
  <c r="DI36" i="25"/>
  <c r="DI32" i="25"/>
  <c r="DI33" i="25"/>
  <c r="DI43" i="25"/>
  <c r="DI34" i="25"/>
  <c r="DI46" i="25"/>
  <c r="DI38" i="25"/>
  <c r="DI37" i="25"/>
  <c r="DI40" i="25"/>
  <c r="DI41" i="25"/>
  <c r="DI44" i="25"/>
  <c r="DI39" i="25"/>
  <c r="DI45" i="25"/>
  <c r="DI47" i="25"/>
  <c r="DI48" i="25"/>
  <c r="DJ29" i="25"/>
  <c r="DJ30" i="25"/>
  <c r="DJ31" i="25"/>
  <c r="DJ42" i="25"/>
  <c r="DJ35" i="25"/>
  <c r="DJ28" i="25"/>
  <c r="DJ36" i="25"/>
  <c r="DJ32" i="25"/>
  <c r="DJ33" i="25"/>
  <c r="DJ43" i="25"/>
  <c r="DJ34" i="25"/>
  <c r="DJ46" i="25"/>
  <c r="DJ38" i="25"/>
  <c r="DJ37" i="25"/>
  <c r="DJ40" i="25"/>
  <c r="DJ41" i="25"/>
  <c r="DJ44" i="25"/>
  <c r="DJ39" i="25"/>
  <c r="DJ45" i="25"/>
  <c r="DJ47" i="25"/>
  <c r="DJ48" i="25"/>
  <c r="K48" i="92"/>
  <c r="M48" i="92"/>
  <c r="K47" i="92"/>
  <c r="AC48" i="92"/>
  <c r="AC47" i="92"/>
  <c r="AA48" i="92"/>
  <c r="AA47" i="92"/>
  <c r="M47" i="92"/>
  <c r="AB48" i="92" l="1"/>
  <c r="L48" i="92"/>
  <c r="CH41" i="25"/>
  <c r="CI41" i="25" s="1"/>
  <c r="CJ41" i="25" s="1"/>
  <c r="CK41" i="25" s="1"/>
  <c r="CH32" i="25"/>
  <c r="CI32" i="25" s="1"/>
  <c r="CJ32" i="25" s="1"/>
  <c r="CK32" i="25" s="1"/>
  <c r="BU30" i="25"/>
  <c r="BN45" i="25"/>
  <c r="BN34" i="25"/>
  <c r="BU43" i="25"/>
  <c r="BP46" i="25"/>
  <c r="BQ46" i="25" s="1"/>
  <c r="BU46" i="25" s="1"/>
  <c r="BU39" i="25"/>
  <c r="CH34" i="25"/>
  <c r="CI34" i="25" s="1"/>
  <c r="CJ34" i="25" s="1"/>
  <c r="CK34" i="25" s="1"/>
  <c r="BN31" i="25"/>
  <c r="CH37" i="25"/>
  <c r="CI37" i="25" s="1"/>
  <c r="CJ37" i="25" s="1"/>
  <c r="CK37" i="25" s="1"/>
  <c r="BN40" i="25"/>
  <c r="BN39" i="25"/>
  <c r="BN43" i="25"/>
  <c r="BN30" i="25"/>
  <c r="BN36" i="25"/>
  <c r="BP36" i="25"/>
  <c r="BQ36" i="25" s="1"/>
  <c r="BU36" i="25" s="1"/>
  <c r="BN33" i="25"/>
  <c r="CH45" i="25"/>
  <c r="CI45" i="25" s="1"/>
  <c r="CJ45" i="25" s="1"/>
  <c r="CK45" i="25" s="1"/>
  <c r="CH31" i="25"/>
  <c r="CI31" i="25" s="1"/>
  <c r="CJ31" i="25" s="1"/>
  <c r="CK31" i="25" s="1"/>
  <c r="CH40" i="25"/>
  <c r="CI40" i="25" s="1"/>
  <c r="CJ40" i="25" s="1"/>
  <c r="CK40" i="25" s="1"/>
  <c r="BN37" i="25"/>
  <c r="BP29" i="25"/>
  <c r="BQ29" i="25" s="1"/>
  <c r="BU29" i="25" s="1"/>
  <c r="BR48" i="25"/>
  <c r="BS48" i="25" s="1"/>
  <c r="BP33" i="25"/>
  <c r="BQ33" i="25" s="1"/>
  <c r="BU33" i="25" s="1"/>
  <c r="BR38" i="25"/>
  <c r="BS38" i="25" s="1"/>
  <c r="BN28" i="25"/>
  <c r="BP35" i="25"/>
  <c r="BQ35" i="25" s="1"/>
  <c r="BU35" i="25" s="1"/>
  <c r="BU41" i="25"/>
  <c r="CH44" i="25"/>
  <c r="CI44" i="25" s="1"/>
  <c r="CJ44" i="25" s="1"/>
  <c r="CK44" i="25" s="1"/>
  <c r="CH33" i="25"/>
  <c r="CI33" i="25" s="1"/>
  <c r="CJ33" i="25" s="1"/>
  <c r="CK33" i="25" s="1"/>
  <c r="BU38" i="25"/>
  <c r="BP42" i="25"/>
  <c r="BQ42" i="25" s="1"/>
  <c r="BU42" i="25" s="1"/>
  <c r="BU40" i="25"/>
  <c r="BR41" i="25"/>
  <c r="BS41" i="25" s="1"/>
  <c r="CH28" i="25"/>
  <c r="CI28" i="25" s="1"/>
  <c r="CJ28" i="25" s="1"/>
  <c r="CK28" i="25" s="1"/>
  <c r="BR32" i="25"/>
  <c r="BS32" i="25" s="1"/>
  <c r="CH39" i="25"/>
  <c r="CI39" i="25" s="1"/>
  <c r="CJ39" i="25" s="1"/>
  <c r="CK39" i="25" s="1"/>
  <c r="BN44" i="25"/>
  <c r="BN29" i="25"/>
  <c r="CH47" i="25"/>
  <c r="CI47" i="25" s="1"/>
  <c r="CJ47" i="25" s="1"/>
  <c r="CK47" i="25" s="1"/>
  <c r="CH46" i="25"/>
  <c r="CI46" i="25" s="1"/>
  <c r="CJ46" i="25" s="1"/>
  <c r="CK46" i="25" s="1"/>
  <c r="CH42" i="25"/>
  <c r="CI42" i="25" s="1"/>
  <c r="CJ42" i="25" s="1"/>
  <c r="CK42" i="25" s="1"/>
  <c r="BU48" i="25"/>
  <c r="BR45" i="25"/>
  <c r="BS45" i="25" s="1"/>
  <c r="BR31" i="25"/>
  <c r="BS31" i="25" s="1"/>
  <c r="BP47" i="25"/>
  <c r="BQ47" i="25" s="1"/>
  <c r="BU47" i="25" s="1"/>
  <c r="CH48" i="25"/>
  <c r="CI48" i="25" s="1"/>
  <c r="CJ48" i="25" s="1"/>
  <c r="CK48" i="25" s="1"/>
  <c r="CH38" i="25"/>
  <c r="CI38" i="25" s="1"/>
  <c r="CJ38" i="25" s="1"/>
  <c r="CK38" i="25" s="1"/>
  <c r="CH35" i="25"/>
  <c r="CI35" i="25" s="1"/>
  <c r="CJ35" i="25" s="1"/>
  <c r="CK35" i="25" s="1"/>
  <c r="CH43" i="25"/>
  <c r="CI43" i="25" s="1"/>
  <c r="CJ43" i="25" s="1"/>
  <c r="CK43" i="25" s="1"/>
  <c r="CH30" i="25"/>
  <c r="CI30" i="25" s="1"/>
  <c r="CJ30" i="25" s="1"/>
  <c r="CK30" i="25" s="1"/>
  <c r="BR40" i="25"/>
  <c r="BS40" i="25" s="1"/>
  <c r="BP44" i="25"/>
  <c r="BQ44" i="25" s="1"/>
  <c r="BU44" i="25" s="1"/>
  <c r="BN41" i="25"/>
  <c r="BN32" i="25"/>
  <c r="BN48" i="25"/>
  <c r="BN38" i="25"/>
  <c r="BN35" i="25"/>
  <c r="CH29" i="25"/>
  <c r="CI29" i="25" s="1"/>
  <c r="CJ29" i="25" s="1"/>
  <c r="CK29" i="25" s="1"/>
  <c r="BN47" i="25"/>
  <c r="BN46" i="25"/>
  <c r="BN42" i="25"/>
  <c r="BR34" i="25"/>
  <c r="BS34" i="25" s="1"/>
  <c r="BU37" i="25"/>
  <c r="BU28" i="25"/>
  <c r="CH36" i="25"/>
  <c r="CI36" i="25" s="1"/>
  <c r="CJ36" i="25" s="1"/>
  <c r="CK36" i="25" s="1"/>
  <c r="BU32" i="25"/>
  <c r="BU45" i="25"/>
  <c r="BU34" i="25"/>
  <c r="BU31" i="25"/>
  <c r="BR39" i="25"/>
  <c r="BS39" i="25" s="1"/>
  <c r="BR43" i="25"/>
  <c r="BS43" i="25" s="1"/>
  <c r="BR30" i="25"/>
  <c r="BS30" i="25" s="1"/>
  <c r="BR37" i="25"/>
  <c r="BS37" i="25" s="1"/>
  <c r="BR28" i="25"/>
  <c r="BS28" i="25" s="1"/>
  <c r="Q34" i="89" l="1"/>
  <c r="Q35" i="89"/>
  <c r="Q36" i="89"/>
  <c r="Q37" i="89"/>
  <c r="N2" i="128"/>
  <c r="O2" i="89" s="1"/>
  <c r="K2" i="128"/>
  <c r="L2" i="89" s="1"/>
  <c r="L2" i="128"/>
  <c r="M2" i="89" s="1"/>
  <c r="M2" i="128"/>
  <c r="N2" i="89" s="1"/>
  <c r="K8" i="25"/>
  <c r="CF17" i="25"/>
  <c r="BL8" i="25"/>
  <c r="BL14" i="25"/>
  <c r="BL7" i="25"/>
  <c r="BL9" i="25"/>
  <c r="BL10" i="25"/>
  <c r="BL11" i="25"/>
  <c r="BL15" i="25"/>
  <c r="BL17" i="25"/>
  <c r="BL18" i="25"/>
  <c r="BL24" i="25"/>
  <c r="BM8" i="25"/>
  <c r="BM14" i="25"/>
  <c r="BM7" i="25"/>
  <c r="BM9" i="25"/>
  <c r="BM10" i="25"/>
  <c r="BM11" i="25"/>
  <c r="BM15" i="25"/>
  <c r="BM17" i="25"/>
  <c r="BM18" i="25"/>
  <c r="BM24" i="25"/>
  <c r="BP8" i="25"/>
  <c r="BQ8" i="25" s="1"/>
  <c r="BP14" i="25"/>
  <c r="BQ14" i="25" s="1"/>
  <c r="BP7" i="25"/>
  <c r="BQ7" i="25" s="1"/>
  <c r="BP9" i="25"/>
  <c r="BQ9" i="25" s="1"/>
  <c r="BP10" i="25"/>
  <c r="BQ10" i="25" s="1"/>
  <c r="BP11" i="25"/>
  <c r="BQ11" i="25" s="1"/>
  <c r="BP15" i="25"/>
  <c r="BQ15" i="25" s="1"/>
  <c r="BP17" i="25"/>
  <c r="BQ17" i="25" s="1"/>
  <c r="BP18" i="25"/>
  <c r="BQ18" i="25" s="1"/>
  <c r="BR24" i="25"/>
  <c r="BS24" i="25" s="1"/>
  <c r="BT8" i="25"/>
  <c r="BT14" i="25"/>
  <c r="BT7" i="25"/>
  <c r="BT9" i="25"/>
  <c r="BT10" i="25"/>
  <c r="BT11" i="25"/>
  <c r="BT15" i="25"/>
  <c r="BT17" i="25"/>
  <c r="BT18" i="25"/>
  <c r="BT24" i="25"/>
  <c r="BW8" i="25"/>
  <c r="BV8" i="25" s="1"/>
  <c r="CC8" i="25" s="1"/>
  <c r="BW14" i="25"/>
  <c r="BV14" i="25" s="1"/>
  <c r="CC14" i="25" s="1"/>
  <c r="BW7" i="25"/>
  <c r="BV7" i="25" s="1"/>
  <c r="CC7" i="25" s="1"/>
  <c r="BW9" i="25"/>
  <c r="BV9" i="25" s="1"/>
  <c r="CC9" i="25" s="1"/>
  <c r="BW10" i="25"/>
  <c r="BV10" i="25" s="1"/>
  <c r="CC10" i="25" s="1"/>
  <c r="BW11" i="25"/>
  <c r="BV11" i="25" s="1"/>
  <c r="CC11" i="25" s="1"/>
  <c r="BW15" i="25"/>
  <c r="BV15" i="25" s="1"/>
  <c r="CC15" i="25" s="1"/>
  <c r="BW17" i="25"/>
  <c r="BV17" i="25" s="1"/>
  <c r="CC17" i="25" s="1"/>
  <c r="BW18" i="25"/>
  <c r="BV18" i="25" s="1"/>
  <c r="CC18" i="25" s="1"/>
  <c r="BW24" i="25"/>
  <c r="BV24" i="25" s="1"/>
  <c r="CC24" i="25" s="1"/>
  <c r="BX8" i="25"/>
  <c r="BX14" i="25"/>
  <c r="BX7" i="25"/>
  <c r="BX9" i="25"/>
  <c r="BX10" i="25"/>
  <c r="BX11" i="25"/>
  <c r="BX15" i="25"/>
  <c r="BX17" i="25"/>
  <c r="BX18" i="25"/>
  <c r="BX24" i="25"/>
  <c r="BY8" i="25"/>
  <c r="CQ8" i="25" s="1"/>
  <c r="BY14" i="25"/>
  <c r="CQ14" i="25" s="1"/>
  <c r="BY7" i="25"/>
  <c r="CQ7" i="25" s="1"/>
  <c r="BY9" i="25"/>
  <c r="CQ9" i="25" s="1"/>
  <c r="BY10" i="25"/>
  <c r="CQ10" i="25" s="1"/>
  <c r="BY11" i="25"/>
  <c r="CQ11" i="25" s="1"/>
  <c r="BY15" i="25"/>
  <c r="CQ15" i="25" s="1"/>
  <c r="BY17" i="25"/>
  <c r="CQ17" i="25" s="1"/>
  <c r="BY18" i="25"/>
  <c r="CQ18" i="25" s="1"/>
  <c r="BY24" i="25"/>
  <c r="CQ24" i="25" s="1"/>
  <c r="BZ8" i="25"/>
  <c r="CR8" i="25" s="1"/>
  <c r="BZ14" i="25"/>
  <c r="CR14" i="25" s="1"/>
  <c r="BZ7" i="25"/>
  <c r="CR7" i="25" s="1"/>
  <c r="BZ9" i="25"/>
  <c r="CR9" i="25" s="1"/>
  <c r="BZ10" i="25"/>
  <c r="CR10" i="25" s="1"/>
  <c r="BZ11" i="25"/>
  <c r="CR11" i="25" s="1"/>
  <c r="BZ15" i="25"/>
  <c r="CR15" i="25" s="1"/>
  <c r="BZ17" i="25"/>
  <c r="CR17" i="25" s="1"/>
  <c r="BZ18" i="25"/>
  <c r="CR18" i="25" s="1"/>
  <c r="BZ24" i="25"/>
  <c r="CR24" i="25" s="1"/>
  <c r="CD8" i="25"/>
  <c r="CD14" i="25"/>
  <c r="CD7" i="25"/>
  <c r="CD9" i="25"/>
  <c r="CD10" i="25"/>
  <c r="CD11" i="25"/>
  <c r="CD15" i="25"/>
  <c r="CD17" i="25"/>
  <c r="CD18" i="25"/>
  <c r="CD24" i="25"/>
  <c r="CL8" i="25"/>
  <c r="CL14" i="25"/>
  <c r="CL7" i="25"/>
  <c r="CL9" i="25"/>
  <c r="CL10" i="25"/>
  <c r="CL11" i="25"/>
  <c r="CL15" i="25"/>
  <c r="CL17" i="25"/>
  <c r="CL18" i="25"/>
  <c r="CL24" i="25"/>
  <c r="CF8" i="25"/>
  <c r="CF14" i="25"/>
  <c r="CF7" i="25"/>
  <c r="CF9" i="25"/>
  <c r="CF10" i="25"/>
  <c r="CF11" i="25"/>
  <c r="CF15" i="25"/>
  <c r="CF18" i="25"/>
  <c r="CF24" i="25"/>
  <c r="CG8" i="25"/>
  <c r="CG14" i="25"/>
  <c r="CG7" i="25"/>
  <c r="CG9" i="25"/>
  <c r="CG10" i="25"/>
  <c r="CG11" i="25"/>
  <c r="CG15" i="25"/>
  <c r="CG17" i="25"/>
  <c r="CG18" i="25"/>
  <c r="CG24" i="25"/>
  <c r="CM8" i="25"/>
  <c r="CM14" i="25"/>
  <c r="CM7" i="25"/>
  <c r="CM9" i="25"/>
  <c r="CM10" i="25"/>
  <c r="CM11" i="25"/>
  <c r="CM15" i="25"/>
  <c r="CM17" i="25"/>
  <c r="CM18" i="25"/>
  <c r="CM24" i="25"/>
  <c r="CN8" i="25"/>
  <c r="CN14" i="25"/>
  <c r="CN7" i="25"/>
  <c r="CN9" i="25"/>
  <c r="CN10" i="25"/>
  <c r="CN11" i="25"/>
  <c r="CN15" i="25"/>
  <c r="CN17" i="25"/>
  <c r="CN18" i="25"/>
  <c r="CN24" i="25"/>
  <c r="CO8" i="25"/>
  <c r="CO14" i="25"/>
  <c r="CO7" i="25"/>
  <c r="CO9" i="25"/>
  <c r="CO10" i="25"/>
  <c r="CO11" i="25"/>
  <c r="CO15" i="25"/>
  <c r="CO17" i="25"/>
  <c r="CO18" i="25"/>
  <c r="CO24" i="25"/>
  <c r="CP8" i="25"/>
  <c r="CP14" i="25"/>
  <c r="CP7" i="25"/>
  <c r="CP9" i="25"/>
  <c r="CP10" i="25"/>
  <c r="CP11" i="25"/>
  <c r="CP15" i="25"/>
  <c r="CP17" i="25"/>
  <c r="CP18" i="25"/>
  <c r="CP24" i="25"/>
  <c r="CS8" i="25"/>
  <c r="CS14" i="25"/>
  <c r="CS7" i="25"/>
  <c r="CS9" i="25"/>
  <c r="CS10" i="25"/>
  <c r="CS11" i="25"/>
  <c r="CS15" i="25"/>
  <c r="CS17" i="25"/>
  <c r="CS18" i="25"/>
  <c r="CS24" i="25"/>
  <c r="CT8" i="25"/>
  <c r="CT14" i="25"/>
  <c r="CT7" i="25"/>
  <c r="CT9" i="25"/>
  <c r="CT10" i="25"/>
  <c r="CT11" i="25"/>
  <c r="CT15" i="25"/>
  <c r="CT17" i="25"/>
  <c r="CT18" i="25"/>
  <c r="CT24" i="25"/>
  <c r="CU8" i="25"/>
  <c r="CA8" i="25" s="1"/>
  <c r="CB8" i="25" s="1"/>
  <c r="CU14" i="25"/>
  <c r="CA14" i="25" s="1"/>
  <c r="CB14" i="25" s="1"/>
  <c r="CU7" i="25"/>
  <c r="CA7" i="25" s="1"/>
  <c r="CB7" i="25" s="1"/>
  <c r="CU9" i="25"/>
  <c r="CA9" i="25" s="1"/>
  <c r="CB9" i="25" s="1"/>
  <c r="CU10" i="25"/>
  <c r="CA10" i="25" s="1"/>
  <c r="CB10" i="25" s="1"/>
  <c r="CU11" i="25"/>
  <c r="CA11" i="25" s="1"/>
  <c r="CB11" i="25" s="1"/>
  <c r="CU15" i="25"/>
  <c r="CA15" i="25" s="1"/>
  <c r="CB15" i="25" s="1"/>
  <c r="CU17" i="25"/>
  <c r="CA17" i="25" s="1"/>
  <c r="CB17" i="25" s="1"/>
  <c r="CU18" i="25"/>
  <c r="CA18" i="25" s="1"/>
  <c r="CB18" i="25" s="1"/>
  <c r="CU24" i="25"/>
  <c r="CA24" i="25" s="1"/>
  <c r="CB24" i="25" s="1"/>
  <c r="CV8" i="25"/>
  <c r="CV14" i="25"/>
  <c r="CV7" i="25"/>
  <c r="CV9" i="25"/>
  <c r="CV10" i="25"/>
  <c r="CV11" i="25"/>
  <c r="CV15" i="25"/>
  <c r="CV17" i="25"/>
  <c r="CV18" i="25"/>
  <c r="CV24" i="25"/>
  <c r="CW8" i="25"/>
  <c r="CW14" i="25"/>
  <c r="CW7" i="25"/>
  <c r="CW9" i="25"/>
  <c r="CW10" i="25"/>
  <c r="CW11" i="25"/>
  <c r="CW15" i="25"/>
  <c r="CW17" i="25"/>
  <c r="CW18" i="25"/>
  <c r="CW24" i="25"/>
  <c r="CX8" i="25"/>
  <c r="CX14" i="25"/>
  <c r="CX7" i="25"/>
  <c r="CX9" i="25"/>
  <c r="CX10" i="25"/>
  <c r="CX11" i="25"/>
  <c r="CX15" i="25"/>
  <c r="CX17" i="25"/>
  <c r="CX18" i="25"/>
  <c r="CX24" i="25"/>
  <c r="CY8" i="25"/>
  <c r="CY14" i="25"/>
  <c r="CY7" i="25"/>
  <c r="CY9" i="25"/>
  <c r="CY10" i="25"/>
  <c r="CY11" i="25"/>
  <c r="CY15" i="25"/>
  <c r="CY17" i="25"/>
  <c r="CY18" i="25"/>
  <c r="CY24" i="25"/>
  <c r="CZ8" i="25"/>
  <c r="CZ14" i="25"/>
  <c r="CZ7" i="25"/>
  <c r="CZ9" i="25"/>
  <c r="CZ10" i="25"/>
  <c r="CZ11" i="25"/>
  <c r="CZ15" i="25"/>
  <c r="CZ17" i="25"/>
  <c r="CZ18" i="25"/>
  <c r="CZ24" i="25"/>
  <c r="DA8" i="25"/>
  <c r="DA14" i="25"/>
  <c r="DA7" i="25"/>
  <c r="DA9" i="25"/>
  <c r="DA10" i="25"/>
  <c r="DA11" i="25"/>
  <c r="DA15" i="25"/>
  <c r="DA17" i="25"/>
  <c r="DA18" i="25"/>
  <c r="DA24" i="25"/>
  <c r="DI8" i="25"/>
  <c r="DI14" i="25"/>
  <c r="DI7" i="25"/>
  <c r="DI9" i="25"/>
  <c r="DI10" i="25"/>
  <c r="DI11" i="25"/>
  <c r="DI15" i="25"/>
  <c r="DI17" i="25"/>
  <c r="DI18" i="25"/>
  <c r="DI24" i="25"/>
  <c r="DJ8" i="25"/>
  <c r="DJ14" i="25"/>
  <c r="DJ7" i="25"/>
  <c r="DJ9" i="25"/>
  <c r="DJ10" i="25"/>
  <c r="DJ11" i="25"/>
  <c r="DJ15" i="25"/>
  <c r="DJ17" i="25"/>
  <c r="DJ18" i="25"/>
  <c r="DJ24" i="25"/>
  <c r="BN7" i="25" l="1"/>
  <c r="BR15" i="25"/>
  <c r="BS15" i="25" s="1"/>
  <c r="BN18" i="25"/>
  <c r="BN10" i="25"/>
  <c r="CH24" i="25"/>
  <c r="CI24" i="25" s="1"/>
  <c r="CJ24" i="25" s="1"/>
  <c r="CK24" i="25" s="1"/>
  <c r="BU14" i="25"/>
  <c r="CH17" i="25"/>
  <c r="CI17" i="25" s="1"/>
  <c r="CJ17" i="25" s="1"/>
  <c r="CK17" i="25" s="1"/>
  <c r="BR17" i="25"/>
  <c r="BS17" i="25" s="1"/>
  <c r="BR9" i="25"/>
  <c r="BS9" i="25" s="1"/>
  <c r="BN15" i="25"/>
  <c r="BN14" i="25"/>
  <c r="BN11" i="25"/>
  <c r="CH9" i="25"/>
  <c r="CI9" i="25" s="1"/>
  <c r="CJ9" i="25" s="1"/>
  <c r="CK9" i="25" s="1"/>
  <c r="BN8" i="25"/>
  <c r="BN24" i="25"/>
  <c r="BN9" i="25"/>
  <c r="CH11" i="25"/>
  <c r="CI11" i="25" s="1"/>
  <c r="CJ11" i="25" s="1"/>
  <c r="CK11" i="25" s="1"/>
  <c r="BN17" i="25"/>
  <c r="BU10" i="25"/>
  <c r="BR18" i="25"/>
  <c r="BS18" i="25" s="1"/>
  <c r="BU15" i="25"/>
  <c r="BR14" i="25"/>
  <c r="BS14" i="25" s="1"/>
  <c r="BR10" i="25"/>
  <c r="BS10" i="25" s="1"/>
  <c r="BR7" i="25"/>
  <c r="BS7" i="25" s="1"/>
  <c r="BU7" i="25"/>
  <c r="BU17" i="25"/>
  <c r="BP24" i="25"/>
  <c r="BQ24" i="25" s="1"/>
  <c r="BU24" i="25" s="1"/>
  <c r="BU18" i="25"/>
  <c r="BR11" i="25"/>
  <c r="BS11" i="25" s="1"/>
  <c r="CH18" i="25"/>
  <c r="CI18" i="25" s="1"/>
  <c r="CJ18" i="25" s="1"/>
  <c r="CK18" i="25" s="1"/>
  <c r="CH10" i="25"/>
  <c r="CI10" i="25" s="1"/>
  <c r="CJ10" i="25" s="1"/>
  <c r="CK10" i="25" s="1"/>
  <c r="CH14" i="25"/>
  <c r="CI14" i="25" s="1"/>
  <c r="CJ14" i="25" s="1"/>
  <c r="CK14" i="25" s="1"/>
  <c r="CH8" i="25"/>
  <c r="CI8" i="25" s="1"/>
  <c r="CJ8" i="25" s="1"/>
  <c r="CK8" i="25" s="1"/>
  <c r="CH15" i="25"/>
  <c r="CI15" i="25" s="1"/>
  <c r="CJ15" i="25" s="1"/>
  <c r="CK15" i="25" s="1"/>
  <c r="CH7" i="25"/>
  <c r="CI7" i="25" s="1"/>
  <c r="CJ7" i="25" s="1"/>
  <c r="CK7" i="25" s="1"/>
  <c r="BU8" i="25"/>
  <c r="BU9" i="25"/>
  <c r="BU11" i="25"/>
  <c r="BR8" i="25"/>
  <c r="BS8" i="25" s="1"/>
  <c r="DC13" i="25" l="1"/>
  <c r="DB13" i="25"/>
  <c r="CG26" i="25"/>
  <c r="CG13" i="25"/>
  <c r="CF12" i="25"/>
  <c r="BL12" i="25"/>
  <c r="BL16" i="25"/>
  <c r="BL20" i="25"/>
  <c r="BL22" i="25"/>
  <c r="BL26" i="25"/>
  <c r="BL25" i="25"/>
  <c r="BL13" i="25"/>
  <c r="BL19" i="25"/>
  <c r="BL21" i="25"/>
  <c r="BL23" i="25"/>
  <c r="BL27" i="25"/>
  <c r="BM12" i="25"/>
  <c r="BM16" i="25"/>
  <c r="BM20" i="25"/>
  <c r="BM22" i="25"/>
  <c r="BM26" i="25"/>
  <c r="BM25" i="25"/>
  <c r="BM13" i="25"/>
  <c r="BM19" i="25"/>
  <c r="BM21" i="25"/>
  <c r="BM23" i="25"/>
  <c r="BM27" i="25"/>
  <c r="BR12" i="25"/>
  <c r="BS12" i="25" s="1"/>
  <c r="BP16" i="25"/>
  <c r="BQ16" i="25" s="1"/>
  <c r="BP20" i="25"/>
  <c r="BQ20" i="25" s="1"/>
  <c r="BP22" i="25"/>
  <c r="BQ22" i="25" s="1"/>
  <c r="BP26" i="25"/>
  <c r="BQ26" i="25" s="1"/>
  <c r="BP25" i="25"/>
  <c r="BQ25" i="25" s="1"/>
  <c r="BP13" i="25"/>
  <c r="BQ13" i="25" s="1"/>
  <c r="BP19" i="25"/>
  <c r="BQ19" i="25" s="1"/>
  <c r="BR21" i="25"/>
  <c r="BS21" i="25" s="1"/>
  <c r="BR23" i="25"/>
  <c r="BS23" i="25" s="1"/>
  <c r="BR27" i="25"/>
  <c r="BS27" i="25" s="1"/>
  <c r="BT12" i="25"/>
  <c r="BT16" i="25"/>
  <c r="BT20" i="25"/>
  <c r="BT22" i="25"/>
  <c r="BT26" i="25"/>
  <c r="BT25" i="25"/>
  <c r="BT13" i="25"/>
  <c r="BT19" i="25"/>
  <c r="BT21" i="25"/>
  <c r="BT23" i="25"/>
  <c r="BT27" i="25"/>
  <c r="BW12" i="25"/>
  <c r="BV12" i="25" s="1"/>
  <c r="CC12" i="25" s="1"/>
  <c r="BW16" i="25"/>
  <c r="BV16" i="25" s="1"/>
  <c r="CC16" i="25" s="1"/>
  <c r="BW20" i="25"/>
  <c r="BV20" i="25" s="1"/>
  <c r="CC20" i="25" s="1"/>
  <c r="BW22" i="25"/>
  <c r="BV22" i="25" s="1"/>
  <c r="CC22" i="25" s="1"/>
  <c r="BW26" i="25"/>
  <c r="BV26" i="25" s="1"/>
  <c r="CC26" i="25" s="1"/>
  <c r="BW25" i="25"/>
  <c r="BV25" i="25" s="1"/>
  <c r="CC25" i="25" s="1"/>
  <c r="BW13" i="25"/>
  <c r="BV13" i="25" s="1"/>
  <c r="CC13" i="25" s="1"/>
  <c r="BW19" i="25"/>
  <c r="BV19" i="25" s="1"/>
  <c r="CC19" i="25" s="1"/>
  <c r="BW21" i="25"/>
  <c r="BV21" i="25" s="1"/>
  <c r="CC21" i="25" s="1"/>
  <c r="BW23" i="25"/>
  <c r="BV23" i="25" s="1"/>
  <c r="CC23" i="25" s="1"/>
  <c r="BW27" i="25"/>
  <c r="BV27" i="25" s="1"/>
  <c r="CC27" i="25" s="1"/>
  <c r="BX12" i="25"/>
  <c r="BX16" i="25"/>
  <c r="BX20" i="25"/>
  <c r="BX22" i="25"/>
  <c r="BX26" i="25"/>
  <c r="BX25" i="25"/>
  <c r="BX13" i="25"/>
  <c r="BX19" i="25"/>
  <c r="BX21" i="25"/>
  <c r="BX23" i="25"/>
  <c r="BX27" i="25"/>
  <c r="BY12" i="25"/>
  <c r="CQ12" i="25" s="1"/>
  <c r="BY16" i="25"/>
  <c r="CQ16" i="25" s="1"/>
  <c r="BY20" i="25"/>
  <c r="CQ20" i="25" s="1"/>
  <c r="BY22" i="25"/>
  <c r="CQ22" i="25" s="1"/>
  <c r="BY26" i="25"/>
  <c r="CQ26" i="25" s="1"/>
  <c r="BY25" i="25"/>
  <c r="CQ25" i="25" s="1"/>
  <c r="BY13" i="25"/>
  <c r="CQ13" i="25" s="1"/>
  <c r="BY19" i="25"/>
  <c r="CQ19" i="25" s="1"/>
  <c r="BY21" i="25"/>
  <c r="CQ21" i="25" s="1"/>
  <c r="BY23" i="25"/>
  <c r="CQ23" i="25" s="1"/>
  <c r="BY27" i="25"/>
  <c r="CQ27" i="25" s="1"/>
  <c r="BZ12" i="25"/>
  <c r="CR12" i="25" s="1"/>
  <c r="BZ16" i="25"/>
  <c r="CR16" i="25" s="1"/>
  <c r="BZ20" i="25"/>
  <c r="CR20" i="25" s="1"/>
  <c r="BZ22" i="25"/>
  <c r="CR22" i="25" s="1"/>
  <c r="BZ26" i="25"/>
  <c r="CR26" i="25" s="1"/>
  <c r="BZ25" i="25"/>
  <c r="CR25" i="25" s="1"/>
  <c r="BZ13" i="25"/>
  <c r="CR13" i="25" s="1"/>
  <c r="BZ19" i="25"/>
  <c r="CR19" i="25" s="1"/>
  <c r="BZ21" i="25"/>
  <c r="CR21" i="25" s="1"/>
  <c r="BZ23" i="25"/>
  <c r="CR23" i="25" s="1"/>
  <c r="BZ27" i="25"/>
  <c r="CR27" i="25" s="1"/>
  <c r="CD12" i="25"/>
  <c r="CD16" i="25"/>
  <c r="CD20" i="25"/>
  <c r="CD22" i="25"/>
  <c r="CD26" i="25"/>
  <c r="CD25" i="25"/>
  <c r="CD13" i="25"/>
  <c r="CD19" i="25"/>
  <c r="CD21" i="25"/>
  <c r="CD23" i="25"/>
  <c r="CD27" i="25"/>
  <c r="CL12" i="25"/>
  <c r="CL16" i="25"/>
  <c r="CL22" i="25"/>
  <c r="CL26" i="25"/>
  <c r="CL25" i="25"/>
  <c r="CL13" i="25"/>
  <c r="CL19" i="25"/>
  <c r="CL21" i="25"/>
  <c r="CL23" i="25"/>
  <c r="CL27" i="25"/>
  <c r="CF16" i="25"/>
  <c r="CF20" i="25"/>
  <c r="CF22" i="25"/>
  <c r="CF26" i="25"/>
  <c r="CF25" i="25"/>
  <c r="CF13" i="25"/>
  <c r="CF19" i="25"/>
  <c r="CF21" i="25"/>
  <c r="CF23" i="25"/>
  <c r="CF27" i="25"/>
  <c r="CG12" i="25"/>
  <c r="CG16" i="25"/>
  <c r="CG20" i="25"/>
  <c r="CG22" i="25"/>
  <c r="CG25" i="25"/>
  <c r="CG19" i="25"/>
  <c r="CG21" i="25"/>
  <c r="CG23" i="25"/>
  <c r="CG27" i="25"/>
  <c r="CM12" i="25"/>
  <c r="CM16" i="25"/>
  <c r="CM20" i="25"/>
  <c r="CM22" i="25"/>
  <c r="CM26" i="25"/>
  <c r="CM25" i="25"/>
  <c r="CM13" i="25"/>
  <c r="CM19" i="25"/>
  <c r="CM21" i="25"/>
  <c r="CM23" i="25"/>
  <c r="CM27" i="25"/>
  <c r="CN12" i="25"/>
  <c r="CN16" i="25"/>
  <c r="CN20" i="25"/>
  <c r="CN22" i="25"/>
  <c r="CN26" i="25"/>
  <c r="CN25" i="25"/>
  <c r="CN13" i="25"/>
  <c r="CN19" i="25"/>
  <c r="CN21" i="25"/>
  <c r="CN23" i="25"/>
  <c r="CN27" i="25"/>
  <c r="CO12" i="25"/>
  <c r="CO16" i="25"/>
  <c r="CO20" i="25"/>
  <c r="CO22" i="25"/>
  <c r="CO26" i="25"/>
  <c r="CO25" i="25"/>
  <c r="CO13" i="25"/>
  <c r="CO19" i="25"/>
  <c r="CO21" i="25"/>
  <c r="CO23" i="25"/>
  <c r="CO27" i="25"/>
  <c r="CP12" i="25"/>
  <c r="CP16" i="25"/>
  <c r="CP20" i="25"/>
  <c r="CP22" i="25"/>
  <c r="CP26" i="25"/>
  <c r="CP25" i="25"/>
  <c r="CP13" i="25"/>
  <c r="CP19" i="25"/>
  <c r="CP21" i="25"/>
  <c r="CP23" i="25"/>
  <c r="CP27" i="25"/>
  <c r="CS12" i="25"/>
  <c r="CS16" i="25"/>
  <c r="CS20" i="25"/>
  <c r="CS22" i="25"/>
  <c r="CS26" i="25"/>
  <c r="CS25" i="25"/>
  <c r="CS13" i="25"/>
  <c r="CS19" i="25"/>
  <c r="CS21" i="25"/>
  <c r="CS23" i="25"/>
  <c r="CS27" i="25"/>
  <c r="CT12" i="25"/>
  <c r="CT16" i="25"/>
  <c r="CT20" i="25"/>
  <c r="CT22" i="25"/>
  <c r="CT26" i="25"/>
  <c r="CT25" i="25"/>
  <c r="CT13" i="25"/>
  <c r="CT19" i="25"/>
  <c r="CT21" i="25"/>
  <c r="CT23" i="25"/>
  <c r="CT27" i="25"/>
  <c r="CU12" i="25"/>
  <c r="CA12" i="25" s="1"/>
  <c r="CB12" i="25" s="1"/>
  <c r="CU16" i="25"/>
  <c r="CA16" i="25" s="1"/>
  <c r="CB16" i="25" s="1"/>
  <c r="CU20" i="25"/>
  <c r="CA20" i="25" s="1"/>
  <c r="CB20" i="25" s="1"/>
  <c r="CU22" i="25"/>
  <c r="CA22" i="25" s="1"/>
  <c r="CB22" i="25" s="1"/>
  <c r="CU26" i="25"/>
  <c r="CA26" i="25" s="1"/>
  <c r="CB26" i="25" s="1"/>
  <c r="CU25" i="25"/>
  <c r="CA25" i="25" s="1"/>
  <c r="CB25" i="25" s="1"/>
  <c r="CU13" i="25"/>
  <c r="CA13" i="25" s="1"/>
  <c r="CB13" i="25" s="1"/>
  <c r="CU19" i="25"/>
  <c r="CA19" i="25" s="1"/>
  <c r="CB19" i="25" s="1"/>
  <c r="CU21" i="25"/>
  <c r="CA21" i="25" s="1"/>
  <c r="CB21" i="25" s="1"/>
  <c r="CU23" i="25"/>
  <c r="CA23" i="25" s="1"/>
  <c r="CB23" i="25" s="1"/>
  <c r="CU27" i="25"/>
  <c r="CA27" i="25" s="1"/>
  <c r="CB27" i="25" s="1"/>
  <c r="CV12" i="25"/>
  <c r="CV16" i="25"/>
  <c r="CV20" i="25"/>
  <c r="CV22" i="25"/>
  <c r="CV26" i="25"/>
  <c r="CV25" i="25"/>
  <c r="CV13" i="25"/>
  <c r="CV19" i="25"/>
  <c r="CV21" i="25"/>
  <c r="CV23" i="25"/>
  <c r="CV27" i="25"/>
  <c r="CW12" i="25"/>
  <c r="CW16" i="25"/>
  <c r="CW20" i="25"/>
  <c r="CW22" i="25"/>
  <c r="CW26" i="25"/>
  <c r="CW25" i="25"/>
  <c r="CW13" i="25"/>
  <c r="CW19" i="25"/>
  <c r="CW21" i="25"/>
  <c r="CW23" i="25"/>
  <c r="CW27" i="25"/>
  <c r="CX12" i="25"/>
  <c r="CX16" i="25"/>
  <c r="CX20" i="25"/>
  <c r="CX22" i="25"/>
  <c r="CX26" i="25"/>
  <c r="CX25" i="25"/>
  <c r="CX13" i="25"/>
  <c r="CX19" i="25"/>
  <c r="CX21" i="25"/>
  <c r="CX23" i="25"/>
  <c r="CX27" i="25"/>
  <c r="CY12" i="25"/>
  <c r="CY16" i="25"/>
  <c r="CY20" i="25"/>
  <c r="CY22" i="25"/>
  <c r="CY26" i="25"/>
  <c r="CY25" i="25"/>
  <c r="CY13" i="25"/>
  <c r="CY19" i="25"/>
  <c r="CY21" i="25"/>
  <c r="CY23" i="25"/>
  <c r="CY27" i="25"/>
  <c r="CZ12" i="25"/>
  <c r="CZ16" i="25"/>
  <c r="CZ20" i="25"/>
  <c r="CZ22" i="25"/>
  <c r="CZ26" i="25"/>
  <c r="CZ25" i="25"/>
  <c r="CZ13" i="25"/>
  <c r="CZ19" i="25"/>
  <c r="CZ21" i="25"/>
  <c r="CZ23" i="25"/>
  <c r="CZ27" i="25"/>
  <c r="DA12" i="25"/>
  <c r="DA16" i="25"/>
  <c r="DA20" i="25"/>
  <c r="DA22" i="25"/>
  <c r="DA26" i="25"/>
  <c r="DA25" i="25"/>
  <c r="DA13" i="25"/>
  <c r="DA19" i="25"/>
  <c r="DA21" i="25"/>
  <c r="DA23" i="25"/>
  <c r="DA27" i="25"/>
  <c r="DI12" i="25"/>
  <c r="DI16" i="25"/>
  <c r="DI20" i="25"/>
  <c r="DI22" i="25"/>
  <c r="DI26" i="25"/>
  <c r="DI25" i="25"/>
  <c r="DI13" i="25"/>
  <c r="DI19" i="25"/>
  <c r="DI21" i="25"/>
  <c r="DI23" i="25"/>
  <c r="DI27" i="25"/>
  <c r="DJ12" i="25"/>
  <c r="DJ16" i="25"/>
  <c r="DJ20" i="25"/>
  <c r="DJ22" i="25"/>
  <c r="DJ26" i="25"/>
  <c r="DJ25" i="25"/>
  <c r="DJ13" i="25"/>
  <c r="DJ19" i="25"/>
  <c r="DJ21" i="25"/>
  <c r="DJ23" i="25"/>
  <c r="DJ27" i="25"/>
  <c r="DD13" i="25" l="1"/>
  <c r="BU22" i="25"/>
  <c r="BN27" i="25"/>
  <c r="BN12" i="25"/>
  <c r="BR20" i="25"/>
  <c r="BS20" i="25" s="1"/>
  <c r="BN22" i="25"/>
  <c r="BN20" i="25"/>
  <c r="BN23" i="25"/>
  <c r="BN19" i="25"/>
  <c r="BN25" i="25"/>
  <c r="CH20" i="25"/>
  <c r="CI20" i="25" s="1"/>
  <c r="CJ20" i="25" s="1"/>
  <c r="CK20" i="25" s="1"/>
  <c r="BN13" i="25"/>
  <c r="BN26" i="25"/>
  <c r="CH16" i="25"/>
  <c r="CI16" i="25" s="1"/>
  <c r="CJ16" i="25" s="1"/>
  <c r="CK16" i="25" s="1"/>
  <c r="CH19" i="25"/>
  <c r="CI19" i="25" s="1"/>
  <c r="CJ19" i="25" s="1"/>
  <c r="CK19" i="25" s="1"/>
  <c r="CH25" i="25"/>
  <c r="CI25" i="25" s="1"/>
  <c r="CJ25" i="25" s="1"/>
  <c r="CK25" i="25" s="1"/>
  <c r="CH13" i="25"/>
  <c r="CI13" i="25" s="1"/>
  <c r="CJ13" i="25" s="1"/>
  <c r="CK13" i="25" s="1"/>
  <c r="CH26" i="25"/>
  <c r="CI26" i="25" s="1"/>
  <c r="CJ26" i="25" s="1"/>
  <c r="CK26" i="25" s="1"/>
  <c r="BU13" i="25"/>
  <c r="BU26" i="25"/>
  <c r="BP27" i="25"/>
  <c r="BQ27" i="25" s="1"/>
  <c r="BU27" i="25" s="1"/>
  <c r="BP21" i="25"/>
  <c r="BQ21" i="25" s="1"/>
  <c r="BU21" i="25" s="1"/>
  <c r="CH22" i="25"/>
  <c r="CI22" i="25" s="1"/>
  <c r="CJ22" i="25" s="1"/>
  <c r="CK22" i="25" s="1"/>
  <c r="CH23" i="25"/>
  <c r="CI23" i="25" s="1"/>
  <c r="CJ23" i="25" s="1"/>
  <c r="CK23" i="25" s="1"/>
  <c r="CH21" i="25"/>
  <c r="CI21" i="25" s="1"/>
  <c r="CJ21" i="25" s="1"/>
  <c r="CK21" i="25" s="1"/>
  <c r="BP12" i="25"/>
  <c r="BQ12" i="25" s="1"/>
  <c r="BU12" i="25" s="1"/>
  <c r="BU20" i="25"/>
  <c r="BR13" i="25"/>
  <c r="BS13" i="25" s="1"/>
  <c r="BU16" i="25"/>
  <c r="CH27" i="25"/>
  <c r="CI27" i="25" s="1"/>
  <c r="CJ27" i="25" s="1"/>
  <c r="CK27" i="25" s="1"/>
  <c r="CH12" i="25"/>
  <c r="CI12" i="25" s="1"/>
  <c r="CJ12" i="25" s="1"/>
  <c r="CK12" i="25" s="1"/>
  <c r="BN16" i="25"/>
  <c r="BN21" i="25"/>
  <c r="CL20" i="25"/>
  <c r="BR26" i="25"/>
  <c r="BS26" i="25" s="1"/>
  <c r="BU19" i="25"/>
  <c r="BU25" i="25"/>
  <c r="BR19" i="25"/>
  <c r="BS19" i="25" s="1"/>
  <c r="BR25" i="25"/>
  <c r="BS25" i="25" s="1"/>
  <c r="BP23" i="25"/>
  <c r="BQ23" i="25" s="1"/>
  <c r="BU23" i="25" s="1"/>
  <c r="BR22" i="25"/>
  <c r="BS22" i="25" s="1"/>
  <c r="BR16" i="25"/>
  <c r="BS16" i="25" s="1"/>
  <c r="Q39" i="89" l="1"/>
  <c r="Q38" i="89"/>
  <c r="B36" i="92"/>
  <c r="N111" i="92"/>
  <c r="K118" i="92"/>
  <c r="K119" i="92"/>
  <c r="R113" i="92"/>
  <c r="N110" i="92"/>
  <c r="Q113" i="92"/>
  <c r="L119" i="92"/>
  <c r="N112" i="92"/>
  <c r="K120" i="92"/>
  <c r="L118" i="92"/>
  <c r="R112" i="92"/>
  <c r="G119" i="92"/>
  <c r="Q110" i="92"/>
  <c r="L121" i="92"/>
  <c r="Q112" i="92"/>
  <c r="J194" i="92"/>
  <c r="Q28" i="92"/>
  <c r="Q111" i="92"/>
  <c r="L120" i="92"/>
  <c r="K121" i="92"/>
  <c r="N113" i="92"/>
  <c r="L47" i="92" l="1"/>
  <c r="AB47" i="92"/>
  <c r="M121" i="92"/>
  <c r="M119" i="92"/>
  <c r="M120" i="92"/>
  <c r="M118" i="92"/>
  <c r="P366" i="92"/>
  <c r="P365" i="92"/>
  <c r="S365" i="92" s="1"/>
  <c r="P364" i="92"/>
  <c r="P363" i="92"/>
  <c r="Q29" i="92"/>
  <c r="K194" i="92"/>
  <c r="Q364" i="92" l="1"/>
  <c r="S364" i="92" s="1"/>
  <c r="J2" i="128"/>
  <c r="K2" i="89" s="1"/>
  <c r="G23" i="89" s="1"/>
  <c r="N23" i="89" s="1"/>
  <c r="U23" i="89" l="1"/>
  <c r="S23" i="89"/>
  <c r="R23" i="89"/>
  <c r="Q23" i="89"/>
  <c r="T23" i="89"/>
  <c r="I2" i="128"/>
  <c r="J2" i="89" s="1"/>
  <c r="G24" i="89" s="1"/>
  <c r="N24" i="89" s="1"/>
  <c r="H2" i="128"/>
  <c r="I2" i="89" s="1"/>
  <c r="G22" i="89" s="1"/>
  <c r="E34" i="89" s="1"/>
  <c r="G2" i="128"/>
  <c r="H2" i="89" s="1"/>
  <c r="F2" i="128"/>
  <c r="G2" i="89" s="1"/>
  <c r="E2" i="128"/>
  <c r="F2" i="89" s="1"/>
  <c r="D2" i="128"/>
  <c r="E2" i="89" s="1"/>
  <c r="G18" i="89" s="1"/>
  <c r="C2" i="128"/>
  <c r="D2" i="89" s="1"/>
  <c r="Q24" i="89" l="1"/>
  <c r="R24" i="89"/>
  <c r="O24" i="89"/>
  <c r="P24" i="89" s="1"/>
  <c r="S24" i="89"/>
  <c r="V24" i="89"/>
  <c r="U24" i="89"/>
  <c r="T24" i="89"/>
  <c r="N22" i="89"/>
  <c r="R34" i="89" s="1"/>
  <c r="N314" i="92"/>
  <c r="N18" i="89"/>
  <c r="U18" i="89" s="1"/>
  <c r="E38" i="89"/>
  <c r="G17" i="89"/>
  <c r="G19" i="89"/>
  <c r="E37" i="89" s="1"/>
  <c r="G20" i="89"/>
  <c r="G21" i="89"/>
  <c r="X47" i="92"/>
  <c r="H47" i="92"/>
  <c r="C140" i="92"/>
  <c r="J190" i="92"/>
  <c r="J195" i="92"/>
  <c r="C74" i="92"/>
  <c r="D74" i="92"/>
  <c r="J193" i="92"/>
  <c r="E39" i="89" l="1"/>
  <c r="N17" i="89"/>
  <c r="O17" i="89" s="1"/>
  <c r="Q18" i="89"/>
  <c r="S18" i="89"/>
  <c r="R18" i="89"/>
  <c r="T18" i="89"/>
  <c r="U22" i="89"/>
  <c r="O22" i="89"/>
  <c r="P22" i="89" s="1"/>
  <c r="Q22" i="89"/>
  <c r="N21" i="89"/>
  <c r="R35" i="89" s="1"/>
  <c r="S35" i="89" s="1"/>
  <c r="E35" i="89"/>
  <c r="V22" i="89"/>
  <c r="N20" i="89"/>
  <c r="R36" i="89" s="1"/>
  <c r="S36" i="89" s="1"/>
  <c r="E36" i="89"/>
  <c r="R22" i="89"/>
  <c r="T22" i="89"/>
  <c r="S22" i="89"/>
  <c r="N19" i="89"/>
  <c r="F37" i="89"/>
  <c r="K190" i="92"/>
  <c r="S21" i="89" l="1"/>
  <c r="R21" i="89"/>
  <c r="T21" i="89"/>
  <c r="F35" i="89"/>
  <c r="S314" i="92"/>
  <c r="T314" i="92" s="1"/>
  <c r="U21" i="89"/>
  <c r="Q20" i="89"/>
  <c r="R20" i="89"/>
  <c r="S20" i="89"/>
  <c r="U20" i="89"/>
  <c r="Q21" i="89"/>
  <c r="T20" i="89"/>
  <c r="T17" i="89"/>
  <c r="S17" i="89"/>
  <c r="U17" i="89"/>
  <c r="R17" i="89"/>
  <c r="Q17" i="89"/>
  <c r="R37" i="89"/>
  <c r="R19" i="89"/>
  <c r="Q19" i="89"/>
  <c r="S19" i="89"/>
  <c r="U19" i="89"/>
  <c r="T19" i="89"/>
  <c r="K193" i="92"/>
  <c r="C363" i="92"/>
  <c r="F100" i="92"/>
  <c r="K195" i="92" l="1"/>
  <c r="F36" i="89" l="1"/>
  <c r="G34" i="89" l="1"/>
  <c r="F34" i="89"/>
  <c r="T35" i="89"/>
  <c r="S34" i="89"/>
  <c r="O314" i="92"/>
  <c r="V21" i="89"/>
  <c r="O21" i="89"/>
  <c r="V20" i="89"/>
  <c r="O20" i="89"/>
  <c r="P20" i="89" s="1"/>
  <c r="P21" i="89" l="1"/>
  <c r="D363" i="92" l="1"/>
  <c r="C341" i="92"/>
  <c r="C361" i="92"/>
  <c r="H240" i="92"/>
  <c r="C226" i="92"/>
  <c r="G240" i="92"/>
  <c r="F136" i="92"/>
  <c r="G136" i="92"/>
  <c r="G117" i="92"/>
  <c r="G118" i="92"/>
  <c r="C362" i="92"/>
  <c r="F103" i="92"/>
  <c r="I240" i="92"/>
  <c r="C360" i="92"/>
  <c r="E237" i="92"/>
  <c r="C227" i="92"/>
  <c r="F237" i="92"/>
  <c r="F240" i="92"/>
  <c r="F101" i="92" l="1"/>
  <c r="H136" i="92"/>
  <c r="H119" i="92"/>
  <c r="H118" i="92"/>
  <c r="H117" i="92"/>
  <c r="D341" i="92"/>
  <c r="E240" i="92"/>
  <c r="G237" i="92"/>
  <c r="D226" i="92"/>
  <c r="D362" i="92"/>
  <c r="D361" i="92"/>
  <c r="D360" i="92"/>
  <c r="D227" i="92"/>
  <c r="F102" i="92"/>
  <c r="S37" i="89" l="1"/>
  <c r="V23" i="89"/>
  <c r="O23" i="89"/>
  <c r="O19" i="89"/>
  <c r="V19" i="89"/>
  <c r="R38" i="89" l="1"/>
  <c r="S38" i="89" s="1"/>
  <c r="R39" i="89"/>
  <c r="S39" i="89" s="1"/>
  <c r="V17" i="89"/>
  <c r="V18" i="89"/>
  <c r="O18" i="89"/>
  <c r="Y47" i="92" l="1"/>
  <c r="I47" i="92"/>
  <c r="P18" i="89" l="1"/>
  <c r="F39" i="89"/>
  <c r="F38" i="89"/>
  <c r="P17" i="89"/>
  <c r="P19" i="89"/>
  <c r="P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17" authorId="0" shapeId="0" xr:uid="{A1FA75A2-60DE-4EAE-8912-9E855C9218E7}">
      <text>
        <r>
          <rPr>
            <b/>
            <sz val="9"/>
            <color indexed="81"/>
            <rFont val="Tahoma"/>
            <family val="2"/>
          </rPr>
          <t>Administrator:</t>
        </r>
        <r>
          <rPr>
            <sz val="9"/>
            <color indexed="81"/>
            <rFont val="Tahoma"/>
            <family val="2"/>
          </rPr>
          <t xml:space="preserve">
June 3W</t>
        </r>
      </text>
    </comment>
    <comment ref="H18" authorId="0" shapeId="0" xr:uid="{4382888E-C005-406F-9F65-DEC3A63E32B5}">
      <text>
        <r>
          <rPr>
            <b/>
            <sz val="9"/>
            <color indexed="81"/>
            <rFont val="Tahoma"/>
            <family val="2"/>
          </rPr>
          <t>Administrator:</t>
        </r>
        <r>
          <rPr>
            <sz val="9"/>
            <color indexed="81"/>
            <rFont val="Tahoma"/>
            <family val="2"/>
          </rPr>
          <t xml:space="preserve">
June 3W
</t>
        </r>
      </text>
    </comment>
    <comment ref="H19" authorId="0" shapeId="0" xr:uid="{CBB9FE4D-0E2C-4099-94AE-CDC98DC65E77}">
      <text>
        <r>
          <rPr>
            <b/>
            <sz val="9"/>
            <color indexed="81"/>
            <rFont val="Tahoma"/>
            <family val="2"/>
          </rPr>
          <t>Administrator:</t>
        </r>
        <r>
          <rPr>
            <sz val="9"/>
            <color indexed="81"/>
            <rFont val="Tahoma"/>
            <family val="2"/>
          </rPr>
          <t xml:space="preserve">
June 3W</t>
        </r>
      </text>
    </comment>
    <comment ref="K19" authorId="0" shapeId="0" xr:uid="{6CEA14F7-4307-4D90-9538-AF4E60CE2D73}">
      <text>
        <r>
          <rPr>
            <b/>
            <sz val="9"/>
            <color indexed="81"/>
            <rFont val="Tahoma"/>
            <family val="2"/>
          </rPr>
          <t>Administrator:</t>
        </r>
        <r>
          <rPr>
            <sz val="9"/>
            <color indexed="81"/>
            <rFont val="Tahoma"/>
            <family val="2"/>
          </rPr>
          <t xml:space="preserve">
WFP-nRS</t>
        </r>
      </text>
    </comment>
    <comment ref="H20" authorId="0" shapeId="0" xr:uid="{10EC3F66-FFBB-4B16-B0DD-9C1436DD0E30}">
      <text>
        <r>
          <rPr>
            <b/>
            <sz val="9"/>
            <color indexed="81"/>
            <rFont val="Tahoma"/>
            <family val="2"/>
          </rPr>
          <t>Administrator:</t>
        </r>
        <r>
          <rPr>
            <sz val="9"/>
            <color indexed="81"/>
            <rFont val="Tahoma"/>
            <family val="2"/>
          </rPr>
          <t xml:space="preserve">
June 3W</t>
        </r>
      </text>
    </comment>
    <comment ref="H23" authorId="0" shapeId="0" xr:uid="{D01AC275-05C4-430E-A003-15C3AE0BFEEB}">
      <text>
        <r>
          <rPr>
            <b/>
            <sz val="9"/>
            <color indexed="81"/>
            <rFont val="Tahoma"/>
            <family val="2"/>
          </rPr>
          <t>Administrator:</t>
        </r>
        <r>
          <rPr>
            <sz val="9"/>
            <color indexed="81"/>
            <rFont val="Tahoma"/>
            <family val="2"/>
          </rPr>
          <t xml:space="preserve">
June 3W</t>
        </r>
      </text>
    </comment>
    <comment ref="H24" authorId="0" shapeId="0" xr:uid="{9EE85693-C19D-4063-934B-4102C73ABF01}">
      <text>
        <r>
          <rPr>
            <b/>
            <sz val="9"/>
            <color indexed="81"/>
            <rFont val="Tahoma"/>
            <family val="2"/>
          </rPr>
          <t>Administrator:</t>
        </r>
        <r>
          <rPr>
            <sz val="9"/>
            <color indexed="81"/>
            <rFont val="Tahoma"/>
            <family val="2"/>
          </rPr>
          <t xml:space="preserve">
June 3W</t>
        </r>
      </text>
    </comment>
    <comment ref="K24" authorId="0" shapeId="0" xr:uid="{85160670-8932-4BEC-952A-5A6017C53050}">
      <text>
        <r>
          <rPr>
            <b/>
            <sz val="9"/>
            <color indexed="81"/>
            <rFont val="Tahoma"/>
            <family val="2"/>
          </rPr>
          <t>Administrator:</t>
        </r>
        <r>
          <rPr>
            <sz val="9"/>
            <color indexed="81"/>
            <rFont val="Tahoma"/>
            <family val="2"/>
          </rPr>
          <t xml:space="preserve">
WFP-nRS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6"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1],[WWWW].[#_Water samples_Tested_at_water_source].&amp;[2],[WWWW].[#_Water samples_Tested_at_water_source].&amp;[4],[WWWW].[#_Water samples_Tested_at_water_source].&amp;[8],[WWWW].[#_Water samples_Tested_at_water_source].&amp;[10],[WWWW].[#_Water samples_Tested_at_water_source].&amp;[14],[WWWW].[#_Water samples_Tested_at_water_source].&amp;[21],[WWWW].[#_Water samples_Tested_at_water_source].&amp;[36],[WWWW].[#_Water samples_Tested_at_water_source].&amp;[46],[WWWW].[#_Water samples_Tested_at_water_source].&amp;[66],[WWWW].[#_Water samples_Tested_at_water_source].&amp;[68],[WWWW].[#_Water samples_Tested_at_water_source].&amp;[88],[WWWW].[#_Water samples_Tested_at_water_source].&amp;[91],[WWWW].[#_Water samples_Tested_at_water_source].&amp;[236]}"/>
    <s v="{[WWWW].[#_Water samples_Tested_at_HH].&amp;[5],[WWWW].[#_Water samples_Tested_at_HH].&amp;[6],[WWWW].[#_Water samples_Tested_at_HH].&amp;[8],[WWWW].[#_Water samples_Tested_at_HH].&amp;[20],[WWWW].[#_Water samples_Tested_at_HH].&amp;[60],[WWWW].[#_Water samples_Tested_at_HH].&amp;[69],[WWWW].[#_Water samples_Tested_at_HH].&amp;[74],[WWWW].[#_Water samples_Tested_at_HH].&amp;[76],[WWWW].[#_Water samples_Tested_at_HH].&amp;[81],[WWWW].[#_Water samples_Tested_at_HH].&amp;[84],[WWWW].[#_Water samples_Tested_at_HH].&amp;[90],[WWWW].[#_Water samples_Tested_at_HH].&amp;[114],[WWWW].[#_Water samples_Tested_at_HH].&amp;[12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<sst xmlns="http://schemas.openxmlformats.org/spreadsheetml/2006/main" count="15498" uniqueCount="3205">
  <si>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</si>
  <si>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</si>
  <si>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</si>
  <si>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</si>
  <si>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</si>
  <si>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</si>
  <si>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</si>
  <si>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</si>
  <si>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</si>
  <si>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</si>
  <si>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</si>
  <si>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</si>
  <si>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</si>
  <si>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</si>
  <si>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</si>
  <si>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</si>
  <si>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</si>
  <si>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</si>
  <si>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</si>
  <si>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</si>
  <si>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</si>
  <si>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</si>
  <si>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</si>
  <si>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</si>
  <si>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</si>
  <si>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</si>
  <si>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</si>
  <si>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</si>
  <si>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</si>
  <si>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</si>
  <si>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</si>
  <si>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</si>
  <si>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</si>
  <si>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</si>
  <si>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</si>
  <si>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</si>
  <si>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</si>
  <si>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</si>
  <si>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</si>
  <si>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</si>
  <si>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</si>
  <si>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</si>
  <si>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</si>
  <si>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</si>
  <si>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</si>
  <si>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</si>
  <si>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</si>
  <si>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</si>
  <si>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</si>
  <si>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</si>
  <si>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</si>
  <si>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</si>
  <si>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</si>
  <si>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</si>
  <si>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</si>
  <si>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</si>
  <si>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</si>
  <si>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</si>
  <si>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</si>
  <si>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</si>
  <si>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</si>
  <si>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</si>
  <si>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</si>
  <si>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</si>
  <si>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</si>
  <si>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</si>
  <si>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</si>
  <si>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</si>
  <si>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</si>
  <si>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</si>
  <si>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</si>
  <si>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</si>
  <si>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</si>
  <si>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</si>
  <si>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</si>
  <si>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</si>
  <si>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</si>
  <si>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</si>
  <si>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</si>
  <si>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</si>
  <si>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</si>
  <si>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</si>
  <si>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</si>
  <si>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</si>
  <si>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</si>
  <si>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</si>
  <si>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</si>
  <si>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</si>
  <si>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</si>
  <si>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</si>
  <si>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</si>
  <si>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</si>
  <si>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</si>
  <si>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</si>
  <si>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</si>
  <si>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</si>
  <si>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</si>
  <si>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</si>
  <si>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</si>
  <si>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</si>
  <si>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</si>
  <si>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</si>
  <si>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</si>
  <si>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</si>
  <si>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</si>
  <si>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</si>
  <si>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</si>
  <si>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</si>
  <si>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</si>
  <si>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</si>
  <si>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</si>
  <si>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</si>
  <si>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</si>
  <si>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</si>
  <si>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</si>
  <si>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</si>
  <si>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</si>
  <si>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</si>
  <si>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</si>
  <si>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</si>
  <si>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</si>
  <si>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</si>
  <si>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</si>
  <si>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</si>
  <si>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</si>
  <si>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</si>
  <si>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</si>
  <si>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</si>
  <si>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</si>
  <si>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</si>
  <si>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</si>
  <si>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</si>
  <si>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</si>
  <si>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</si>
  <si>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</si>
  <si>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</si>
  <si>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</si>
  <si>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</si>
  <si>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</si>
  <si>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</si>
  <si>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</si>
  <si>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</si>
  <si>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</si>
  <si>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</si>
  <si>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</si>
  <si>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</si>
  <si>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</si>
  <si>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</si>
  <si>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</si>
  <si>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</si>
  <si>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</si>
  <si>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</si>
  <si>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</si>
  <si>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</si>
  <si>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</si>
  <si>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</si>
  <si>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</si>
  <si>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</si>
  <si>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</si>
  <si>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</si>
  <si>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</si>
  <si>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</si>
  <si>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</si>
  <si>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</si>
  <si>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</si>
  <si>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</si>
  <si>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</si>
  <si>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</si>
  <si>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</si>
  <si>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</si>
  <si>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</si>
  <si>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</si>
  <si>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</si>
  <si>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</si>
  <si>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</si>
  <si>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</si>
  <si>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</si>
  <si>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</si>
  <si>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</si>
  <si>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</si>
  <si>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</si>
  <si>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</si>
  <si>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</si>
  <si>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</si>
  <si>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</si>
  <si>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</si>
  <si>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</si>
  <si>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</si>
  <si>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</si>
  <si>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</si>
  <si>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</si>
  <si>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</si>
  <si>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</si>
  <si>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</si>
  <si>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</si>
  <si>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</si>
  <si>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</si>
  <si>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</si>
  <si>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</si>
  <si>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</si>
  <si>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</si>
  <si>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</si>
  <si>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</si>
  <si>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</si>
  <si>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</si>
  <si>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</si>
  <si>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</si>
  <si>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</si>
  <si>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</si>
  <si>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</si>
  <si>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</si>
  <si>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</si>
  <si>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</si>
  <si>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</si>
  <si>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</si>
  <si>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</si>
  <si>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</si>
  <si>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</si>
  <si>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</si>
  <si>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</si>
  <si>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</si>
  <si>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</si>
  <si>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</si>
  <si>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</si>
  <si>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</si>
  <si>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</si>
  <si>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</si>
  <si>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</si>
  <si>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</si>
  <si>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</si>
  <si>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</si>
  <si>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</si>
  <si>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</si>
  <si>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</si>
  <si>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</si>
  <si>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</si>
  <si>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</si>
  <si>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</si>
  <si>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</si>
  <si>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</si>
  <si>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</si>
  <si>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</si>
  <si>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</si>
  <si>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</si>
  <si>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</si>
  <si>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</si>
  <si>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</si>
  <si>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</si>
  <si>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</si>
  <si>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</si>
  <si>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</si>
  <si>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</si>
  <si>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</si>
  <si>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</si>
  <si>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</si>
  <si>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</si>
  <si>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</si>
  <si>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</si>
  <si>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</si>
  <si>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</si>
  <si>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</si>
  <si>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</si>
  <si>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</si>
  <si>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</si>
  <si>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</si>
  <si>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</si>
  <si>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</si>
  <si>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</si>
  <si>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</si>
  <si>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</si>
  <si>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</si>
  <si>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</si>
  <si>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</si>
  <si>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</si>
  <si>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</si>
  <si>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</si>
  <si>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</si>
  <si>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</si>
  <si>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</si>
  <si>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</si>
  <si>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</si>
  <si>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</si>
  <si>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</si>
  <si>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</si>
  <si>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</si>
  <si>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</si>
  <si>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</si>
  <si>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</si>
  <si>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</si>
  <si>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</si>
  <si>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</si>
  <si>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</si>
  <si>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</si>
  <si>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</si>
  <si>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</si>
  <si>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</si>
  <si>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</si>
  <si>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</si>
  <si>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</si>
  <si>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</si>
  <si>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</si>
  <si>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</si>
  <si>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</si>
  <si>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</si>
  <si>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</si>
  <si>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</si>
  <si>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</si>
  <si>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</si>
  <si>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</si>
  <si>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</si>
  <si>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</si>
  <si>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</si>
  <si>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</si>
  <si>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</si>
  <si>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</si>
  <si>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</si>
  <si>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</si>
  <si>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</si>
  <si>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</si>
  <si>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</si>
  <si>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</si>
  <si>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</si>
  <si>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</si>
  <si>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</si>
  <si>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</si>
  <si>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</si>
  <si>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</si>
  <si>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</si>
  <si>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</si>
  <si>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</si>
  <si>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</si>
  <si>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</si>
  <si>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</si>
  <si>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</si>
  <si>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</si>
  <si>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</si>
  <si>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</si>
  <si>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</si>
  <si>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</si>
  <si>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</si>
  <si>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</si>
  <si>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</si>
  <si>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</si>
  <si>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</si>
  <si>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</si>
  <si>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</si>
  <si>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</si>
  <si>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</si>
  <si>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</si>
  <si>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</si>
  <si>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</si>
  <si>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</si>
  <si>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</si>
  <si>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</si>
  <si>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</si>
  <si>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</si>
  <si>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</si>
  <si>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</si>
  <si>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</si>
  <si>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</si>
  <si>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</si>
  <si>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</si>
  <si>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</si>
  <si>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</si>
  <si>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</si>
  <si>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</si>
  <si>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</si>
  <si>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</si>
  <si>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</si>
  <si>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</si>
  <si>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</si>
  <si>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</si>
  <si>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</si>
  <si>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</si>
  <si>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</si>
  <si>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</si>
  <si>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</si>
  <si>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</si>
  <si>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</si>
  <si>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</si>
  <si>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</si>
  <si>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</si>
  <si>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</si>
  <si>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</si>
  <si>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</si>
  <si>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</si>
  <si>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</si>
  <si>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</si>
  <si>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</si>
  <si>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</si>
  <si>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</si>
  <si>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</si>
  <si>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</si>
  <si>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</si>
  <si>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</si>
  <si>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</si>
  <si>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</si>
  <si>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</si>
  <si>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</si>
  <si>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</si>
  <si>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</si>
  <si>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</si>
  <si>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</si>
  <si>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</si>
  <si>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</si>
  <si>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</si>
  <si>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</si>
  <si>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</si>
  <si>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</si>
  <si>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</si>
  <si>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</si>
  <si>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</si>
  <si>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</si>
  <si>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</si>
  <si>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</si>
  <si>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</si>
  <si>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</si>
  <si>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</si>
  <si>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</si>
  <si>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</si>
  <si>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</si>
  <si>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</si>
  <si>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</si>
  <si>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</si>
  <si>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</si>
  <si>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</si>
  <si>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</si>
  <si>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</si>
  <si>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</si>
  <si>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</si>
  <si>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</si>
  <si>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</si>
  <si>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</si>
  <si>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</si>
  <si>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</si>
  <si>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</si>
  <si>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</si>
  <si>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</si>
  <si>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</si>
  <si>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</si>
  <si>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</si>
  <si>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</si>
  <si>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</si>
  <si>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</si>
  <si>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</si>
  <si>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</si>
  <si>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</si>
  <si>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</si>
  <si>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</si>
  <si>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</si>
  <si>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</si>
  <si>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</si>
  <si>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</si>
  <si>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</si>
  <si>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</si>
  <si>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</si>
  <si>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</si>
  <si>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</si>
  <si>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</si>
  <si>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</si>
  <si>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</si>
  <si>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</si>
  <si>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</si>
  <si>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</si>
  <si>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</si>
  <si>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</si>
  <si>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</si>
  <si>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</si>
  <si>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</si>
  <si>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</si>
  <si>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</si>
  <si>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</si>
  <si>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</si>
  <si>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</si>
  <si>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</si>
  <si>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</si>
  <si>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</si>
  <si>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</si>
  <si>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</si>
  <si>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</si>
  <si>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</si>
  <si>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</si>
  <si>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</si>
  <si>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</si>
  <si>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</si>
  <si>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</si>
  <si>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</si>
  <si>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</si>
  <si>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</si>
  <si>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</si>
  <si>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</si>
  <si>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</si>
  <si>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</si>
  <si>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</si>
  <si>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</si>
  <si>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</si>
  <si>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</si>
  <si>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</si>
  <si>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</si>
  <si>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</si>
  <si>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</si>
  <si>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</si>
  <si>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</si>
  <si>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</si>
  <si>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</si>
  <si>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</si>
  <si>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</si>
  <si>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</si>
  <si>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</si>
  <si>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</si>
  <si>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</si>
  <si>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</si>
  <si>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</si>
  <si>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</si>
  <si>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</si>
  <si>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</si>
  <si>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</si>
  <si>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</si>
  <si>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</si>
  <si>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</si>
  <si>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</si>
  <si>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</si>
  <si>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</si>
  <si>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</si>
  <si>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</si>
  <si>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</si>
  <si>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</si>
  <si>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</si>
  <si>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</si>
  <si>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</si>
  <si>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</si>
  <si>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</si>
  <si>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</si>
  <si>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</si>
  <si>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</si>
  <si>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</si>
  <si>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</si>
  <si>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</si>
  <si>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</si>
  <si>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</si>
  <si>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</si>
  <si>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</si>
  <si>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</si>
  <si>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</si>
  <si>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</si>
  <si>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</si>
  <si>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</si>
  <si>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</si>
  <si>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</si>
  <si>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</si>
  <si>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</si>
  <si>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</si>
  <si>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</si>
  <si>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</si>
  <si>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</si>
  <si>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</si>
  <si>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</si>
  <si>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</si>
  <si>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</si>
  <si>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</si>
  <si>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</si>
  <si>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</si>
  <si>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</si>
  <si>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</si>
  <si>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</si>
  <si>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</si>
  <si>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</si>
  <si>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</si>
  <si>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</si>
  <si>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</si>
  <si>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</si>
  <si>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</si>
  <si>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</si>
  <si>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</si>
  <si>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</si>
  <si>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</si>
  <si>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</si>
  <si>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</si>
  <si>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</si>
  <si>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</si>
  <si>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</si>
  <si>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</si>
  <si>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</si>
  <si>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</si>
  <si>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</si>
  <si>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</si>
  <si>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</si>
  <si>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</si>
  <si>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</si>
  <si>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</si>
  <si>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</si>
  <si>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</si>
  <si>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</si>
  <si>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</si>
  <si>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</si>
  <si>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</si>
  <si>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</si>
  <si>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</si>
  <si>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</si>
  <si>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</si>
  <si>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</si>
  <si>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</si>
  <si>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</si>
  <si>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</si>
  <si>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</si>
  <si>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</si>
  <si>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</si>
  <si>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</si>
  <si>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</si>
  <si>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</si>
  <si>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</si>
  <si>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</si>
  <si>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</si>
  <si>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</si>
  <si>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</si>
  <si>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</si>
  <si>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</si>
  <si>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</si>
  <si>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</si>
  <si>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</si>
  <si>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</si>
  <si>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</si>
  <si>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</si>
  <si>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</si>
  <si>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</si>
  <si>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</si>
  <si>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</si>
  <si>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</si>
  <si>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</si>
  <si>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</si>
  <si>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</si>
  <si>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</si>
  <si>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</si>
  <si>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</si>
  <si>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</si>
  <si>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</si>
  <si>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</si>
  <si>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</si>
  <si>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</si>
  <si>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</si>
  <si>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</si>
  <si>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</si>
  <si>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</si>
  <si>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</si>
  <si>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</si>
  <si>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</si>
  <si>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</si>
  <si>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</si>
  <si>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</si>
  <si>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</si>
  <si>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</si>
  <si>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</si>
  <si>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</si>
  <si>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</si>
  <si>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</si>
  <si>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</si>
  <si>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</si>
  <si>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</si>
  <si>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</si>
  <si>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</si>
  <si>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</si>
  <si>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</si>
  <si>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</si>
  <si>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</si>
  <si>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</si>
  <si>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</si>
  <si>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</si>
  <si>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</si>
  <si>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</si>
  <si>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</si>
  <si>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</si>
  <si>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</si>
  <si>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</si>
  <si>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</si>
  <si>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</si>
  <si>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</si>
  <si>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</si>
  <si>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</si>
  <si>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</si>
  <si>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</si>
  <si>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</si>
  <si>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</si>
  <si>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</si>
  <si>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</si>
  <si>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</si>
  <si>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</si>
  <si>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</si>
  <si>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</si>
  <si>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</si>
  <si>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</si>
  <si>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</si>
  <si>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</si>
  <si>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</si>
  <si>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</si>
  <si>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</si>
  <si>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</si>
  <si>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</si>
  <si>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</si>
  <si>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</si>
  <si>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</si>
  <si>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</si>
  <si>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</si>
  <si>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</si>
  <si>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</si>
  <si>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</si>
  <si>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</si>
  <si>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</si>
  <si>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</si>
  <si>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</si>
  <si>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</si>
  <si>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</si>
  <si>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</si>
  <si>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</si>
  <si>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</si>
  <si>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</si>
  <si>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</si>
  <si>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</si>
  <si>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</si>
  <si>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</si>
  <si>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</si>
  <si>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</si>
  <si>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</si>
  <si>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</si>
  <si>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</si>
  <si>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</si>
  <si>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</si>
  <si>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</si>
  <si>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</si>
  <si>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</si>
  <si>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</si>
  <si>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</si>
  <si>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</si>
  <si>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</si>
  <si>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</si>
  <si>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</si>
  <si>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</si>
  <si>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</si>
  <si>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</si>
  <si>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</si>
  <si>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</si>
  <si>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</si>
  <si>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</si>
  <si>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</si>
  <si>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</si>
  <si>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</si>
  <si>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</si>
  <si>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</si>
  <si>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</si>
  <si>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</si>
  <si>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</si>
  <si>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</si>
  <si>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</si>
  <si>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</si>
  <si>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</si>
  <si>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</si>
  <si>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</si>
  <si>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</si>
  <si>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</si>
  <si>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</si>
  <si>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</si>
  <si>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</si>
  <si>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</si>
  <si>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</si>
  <si>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</si>
  <si>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</si>
  <si>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</si>
  <si>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</si>
  <si>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</si>
  <si>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</si>
  <si>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</si>
  <si>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</si>
  <si>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</si>
  <si>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</si>
  <si>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</si>
  <si>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</si>
  <si>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</si>
  <si>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</si>
  <si>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</si>
  <si>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</si>
  <si>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</si>
  <si>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</si>
  <si>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</si>
  <si>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</si>
  <si>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</si>
  <si>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</si>
  <si>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</si>
  <si>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</si>
  <si>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</si>
  <si>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</si>
  <si>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</si>
  <si>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</si>
  <si>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</si>
  <si>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</si>
  <si>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</si>
  <si>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</si>
  <si>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</si>
  <si>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</si>
  <si>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</si>
  <si>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</si>
  <si>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</si>
  <si>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</si>
  <si>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</si>
  <si>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</si>
  <si>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</si>
  <si>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</si>
  <si>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</si>
  <si>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</si>
  <si>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</si>
  <si>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</si>
  <si>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</si>
  <si>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</si>
  <si>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</si>
  <si>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</si>
  <si>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</si>
  <si>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</si>
  <si>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</si>
  <si>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</si>
  <si>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</si>
  <si>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</si>
  <si>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</si>
  <si>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</si>
  <si>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</si>
  <si>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</si>
  <si>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</si>
  <si>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</si>
  <si>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</si>
  <si>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</si>
  <si>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</si>
  <si>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</si>
  <si>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</si>
  <si>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</si>
  <si>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</si>
  <si>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</si>
  <si>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</si>
  <si>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</si>
  <si>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</si>
  <si>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</si>
  <si>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</si>
  <si>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</si>
  <si>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</si>
  <si>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</si>
  <si>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</si>
  <si>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</si>
  <si>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</si>
  <si>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</si>
  <si>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</si>
  <si>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</si>
  <si>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</si>
  <si>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</si>
  <si>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</si>
  <si>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</si>
  <si>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</si>
  <si>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</si>
  <si>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</si>
  <si>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</si>
  <si>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</si>
  <si>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</si>
  <si>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</si>
  <si>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</si>
  <si>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</si>
  <si>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</si>
  <si>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</si>
  <si>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</si>
  <si>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</si>
  <si>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</si>
  <si>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</si>
  <si>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</si>
  <si>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</si>
  <si>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</si>
  <si>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</si>
  <si>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</si>
  <si>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</si>
  <si>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</si>
  <si>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</si>
  <si>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</si>
  <si>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</si>
  <si>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</si>
  <si>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</si>
  <si>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</si>
  <si>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</si>
  <si>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</si>
  <si>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</si>
  <si>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</si>
  <si>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</si>
  <si>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</si>
  <si>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</si>
  <si>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</si>
  <si>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</si>
  <si>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</si>
  <si>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</si>
  <si>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</si>
  <si>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</si>
  <si>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</si>
  <si>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</si>
  <si>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</si>
  <si>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</si>
  <si>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</si>
  <si>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</si>
  <si>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</si>
  <si>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</si>
  <si>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</si>
  <si>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</si>
  <si>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</si>
  <si>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</si>
  <si>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</si>
  <si>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</si>
  <si>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</si>
  <si>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</si>
  <si>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</si>
  <si>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</si>
  <si>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</si>
  <si>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</si>
  <si>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</si>
  <si>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</si>
  <si>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</si>
  <si>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</si>
  <si>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</si>
  <si>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</si>
  <si>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</si>
  <si>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</si>
  <si>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</si>
  <si>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</si>
  <si>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</si>
  <si>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</si>
  <si>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</si>
  <si>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</si>
  <si>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</si>
  <si>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</si>
  <si>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</si>
  <si>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</si>
  <si>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</si>
  <si>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</si>
  <si>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</si>
  <si>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</si>
  <si>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</si>
  <si>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</si>
  <si>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</si>
  <si>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</si>
  <si>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</si>
  <si>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</si>
  <si>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</si>
  <si>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</si>
  <si>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</si>
  <si>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</si>
  <si>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</si>
  <si>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</si>
  <si>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</si>
  <si>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</si>
  <si>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</si>
  <si>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</si>
  <si>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</si>
  <si>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</si>
  <si>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</si>
  <si>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</si>
  <si>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</si>
  <si>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</si>
  <si>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</si>
  <si>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</si>
  <si>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</si>
  <si>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</si>
  <si>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</si>
  <si>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</si>
  <si>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</si>
  <si>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</si>
  <si>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</si>
  <si>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</si>
  <si>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</si>
  <si>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</si>
  <si>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</si>
  <si>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</si>
  <si>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</si>
  <si>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</si>
  <si>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</si>
  <si>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</si>
  <si>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</si>
  <si>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</si>
  <si>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</si>
  <si>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</si>
  <si>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</si>
  <si>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</si>
  <si>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</si>
  <si>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</si>
  <si>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</si>
  <si>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</si>
  <si>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</si>
  <si>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</si>
  <si>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</si>
  <si>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</si>
  <si>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</si>
  <si>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</si>
  <si>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</si>
  <si>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</si>
  <si>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</si>
  <si>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</si>
  <si>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</si>
  <si>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</si>
  <si>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</si>
  <si>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</si>
  <si>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</si>
  <si>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</si>
  <si>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</si>
  <si>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</si>
  <si>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</si>
  <si>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</si>
  <si>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</si>
  <si>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</si>
  <si>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</si>
  <si>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</si>
  <si>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</si>
  <si>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</si>
  <si>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</si>
  <si>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</si>
  <si>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</si>
  <si>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</si>
  <si>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</si>
  <si>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</si>
  <si>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</si>
  <si>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</si>
  <si>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</si>
  <si>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</si>
  <si>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</si>
  <si>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</si>
  <si>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</si>
  <si>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</si>
  <si>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</si>
  <si>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</si>
  <si>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</si>
  <si>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</si>
  <si>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</si>
  <si>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</si>
  <si>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</si>
  <si>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</si>
  <si>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</si>
  <si>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</si>
  <si>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</si>
  <si>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</si>
  <si>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</si>
  <si>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</si>
  <si>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</si>
  <si>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</si>
  <si>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</si>
  <si>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</si>
  <si>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</si>
  <si>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</si>
  <si>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</si>
  <si>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</si>
  <si>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</si>
  <si>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</si>
  <si>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</si>
  <si>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</si>
  <si>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</si>
  <si>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</si>
  <si>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</si>
  <si>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</si>
  <si>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</si>
  <si>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</si>
  <si>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</si>
  <si>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</si>
  <si>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</si>
  <si>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</si>
  <si>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</si>
  <si>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</si>
  <si>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</si>
  <si>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</si>
  <si>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</si>
  <si>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</si>
  <si>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</si>
  <si>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</si>
  <si>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</si>
  <si>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</si>
  <si>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</si>
  <si>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</si>
  <si>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</si>
  <si>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</si>
  <si>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</si>
  <si>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</si>
  <si>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</si>
  <si>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</si>
  <si>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</si>
  <si>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</si>
  <si>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</si>
  <si>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</si>
  <si>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</si>
  <si>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</si>
  <si>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</si>
  <si>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</si>
  <si>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</si>
  <si>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</si>
  <si>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</si>
  <si>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</si>
  <si>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</si>
  <si>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</si>
  <si>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</si>
  <si>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</si>
  <si>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</si>
  <si>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</si>
  <si>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</si>
  <si>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</si>
  <si>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</si>
  <si>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</si>
  <si>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</si>
  <si>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</si>
  <si>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</si>
  <si>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</si>
  <si>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</si>
  <si>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</si>
  <si>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</si>
  <si>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</si>
  <si>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</si>
  <si>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</si>
  <si>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</si>
  <si>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</si>
  <si>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</si>
  <si>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</si>
  <si>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</si>
  <si>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</si>
  <si>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</si>
  <si>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</si>
  <si>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</si>
  <si>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</si>
  <si>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</si>
  <si>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</si>
  <si>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</si>
  <si>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</si>
  <si>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</si>
  <si>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</si>
  <si>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</si>
  <si>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</si>
  <si>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</si>
  <si>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</si>
  <si>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</si>
  <si>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</si>
  <si>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</si>
  <si>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</si>
  <si>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</si>
  <si>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</si>
  <si>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</si>
  <si>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</si>
  <si>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</si>
  <si>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</si>
  <si>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</si>
  <si>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</si>
  <si>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</si>
  <si>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</si>
  <si>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</si>
  <si>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</si>
  <si>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</si>
  <si>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</si>
  <si>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</si>
  <si>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</si>
  <si>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</si>
  <si>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</si>
  <si>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</si>
  <si>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</si>
  <si>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</si>
  <si>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</si>
  <si>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</si>
  <si>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</si>
  <si>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</si>
  <si>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</si>
  <si>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</si>
  <si>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</si>
  <si>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</si>
  <si>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</si>
  <si>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</si>
  <si>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</si>
  <si>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</si>
  <si>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</si>
  <si>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</si>
  <si>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</si>
  <si>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</si>
  <si>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</si>
  <si>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</si>
  <si>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</si>
  <si>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</si>
  <si>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</si>
  <si>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</si>
  <si>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</si>
  <si>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</si>
  <si>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</si>
  <si>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</si>
  <si>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</si>
  <si>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</si>
  <si>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</si>
  <si>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</si>
  <si>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</si>
  <si>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</si>
  <si>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</si>
  <si>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</si>
  <si>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</si>
  <si>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</si>
  <si>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</si>
  <si>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</si>
  <si>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</si>
  <si>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</si>
  <si>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</si>
  <si>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</si>
  <si>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</si>
  <si>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</si>
  <si>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</si>
  <si>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</si>
  <si>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</si>
  <si>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</si>
  <si>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</si>
  <si>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</si>
  <si>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</si>
  <si>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</si>
  <si>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</si>
  <si>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</si>
  <si>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</si>
  <si>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</si>
  <si>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</si>
  <si>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</si>
  <si>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</si>
  <si>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</si>
  <si>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</si>
  <si>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</si>
  <si>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</si>
  <si>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</si>
  <si>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</si>
  <si>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</si>
  <si>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</si>
  <si>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</si>
  <si>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</si>
  <si>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</si>
  <si>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</si>
  <si>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</si>
  <si>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</si>
  <si>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</si>
  <si>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</si>
  <si>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</si>
  <si>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</si>
  <si>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</si>
  <si>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</si>
  <si>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</si>
  <si>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</si>
  <si>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</si>
  <si>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</si>
  <si>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</si>
  <si>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</si>
  <si>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</si>
  <si>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</si>
  <si>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</si>
  <si>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</si>
  <si>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</si>
  <si>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</si>
  <si>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</si>
  <si>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</si>
  <si>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</si>
  <si>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</si>
  <si>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</si>
  <si>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</si>
  <si>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</si>
  <si>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</si>
  <si>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</si>
  <si>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</si>
  <si>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</si>
  <si>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</si>
  <si>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</si>
  <si>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</si>
  <si>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</si>
  <si>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</si>
  <si>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</si>
  <si>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</si>
  <si>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</si>
  <si>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</si>
  <si>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</si>
  <si>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</si>
  <si>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</si>
  <si>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</si>
  <si>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</si>
  <si>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</si>
  <si>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</si>
  <si>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</si>
  <si>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</si>
  <si>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</si>
  <si>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</si>
  <si>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</si>
  <si>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</si>
  <si>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</si>
  <si>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</si>
  <si>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</si>
  <si>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</si>
  <si>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</si>
  <si>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</si>
  <si>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</si>
  <si>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</si>
  <si>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</si>
  <si>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</si>
  <si>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</si>
  <si>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</si>
  <si>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</si>
  <si>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</si>
  <si>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</si>
  <si>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</si>
  <si>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</si>
  <si>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</si>
  <si>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</si>
  <si>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</si>
  <si>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</si>
  <si>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</si>
  <si>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</si>
  <si>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</si>
  <si>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</si>
  <si>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</si>
  <si>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</si>
  <si>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</si>
  <si>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</si>
  <si>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</si>
  <si>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</si>
  <si>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</si>
  <si>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</si>
  <si>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</si>
  <si>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</si>
  <si>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</si>
  <si>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</si>
  <si>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</si>
  <si>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</si>
  <si>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</si>
  <si>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</si>
  <si>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</si>
  <si>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</si>
  <si>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</si>
  <si>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</si>
  <si>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</si>
  <si>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</si>
  <si>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</si>
  <si>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</si>
  <si>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</si>
  <si>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</si>
  <si>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</si>
  <si>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</si>
  <si>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</si>
  <si>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</si>
  <si>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</si>
  <si>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</si>
  <si>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</si>
  <si>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</si>
  <si>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</si>
  <si>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</si>
  <si>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</si>
  <si>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</si>
  <si>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</si>
  <si>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</si>
  <si>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</si>
  <si>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</si>
  <si>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</si>
  <si>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</si>
  <si>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</si>
  <si>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</si>
  <si>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</si>
  <si>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</si>
  <si>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</si>
  <si>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</si>
  <si>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</si>
  <si>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</si>
  <si>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</si>
  <si>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</si>
  <si>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</si>
  <si>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</si>
  <si>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</si>
  <si>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</si>
  <si>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</si>
  <si>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</si>
  <si>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</si>
  <si>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</si>
  <si>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</si>
  <si>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</si>
  <si>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</si>
  <si>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</si>
  <si>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</si>
  <si>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</si>
  <si>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</si>
  <si>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</si>
  <si>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</si>
  <si>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</si>
  <si>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</si>
  <si>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</si>
  <si>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</si>
  <si>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</si>
  <si>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</si>
  <si>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</si>
  <si>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</si>
  <si>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</si>
  <si>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</si>
  <si>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</si>
  <si>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</si>
  <si>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</si>
  <si>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</si>
  <si>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</si>
  <si>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</si>
  <si>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</si>
  <si>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</si>
  <si>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</si>
  <si>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</si>
  <si>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</si>
  <si>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</si>
  <si>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</si>
  <si>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</si>
  <si>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</si>
  <si>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</si>
  <si>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</si>
  <si>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</si>
  <si>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</si>
  <si>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</si>
  <si>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</si>
  <si>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</si>
  <si>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</si>
  <si>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</si>
  <si>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</si>
  <si>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</si>
  <si>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</si>
  <si>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</si>
  <si>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</si>
  <si>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</si>
  <si>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</si>
  <si>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</si>
  <si>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</si>
  <si>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</si>
  <si>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</si>
  <si>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</si>
  <si>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</si>
  <si>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</si>
  <si>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</si>
  <si>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</si>
  <si>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</si>
  <si>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</si>
  <si>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</si>
  <si>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</si>
  <si>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</si>
  <si>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</si>
  <si>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</si>
  <si>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</si>
  <si>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</si>
  <si>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</si>
  <si>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</si>
  <si>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</si>
  <si>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</si>
  <si>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</si>
  <si>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</si>
  <si>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</si>
  <si>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</si>
  <si>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</si>
  <si>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</si>
  <si>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</si>
  <si>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</si>
  <si>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</si>
  <si>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</si>
  <si>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</si>
  <si>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</si>
  <si>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</si>
  <si>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</si>
  <si>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</si>
  <si>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</si>
  <si>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</si>
  <si>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</si>
  <si>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</si>
  <si>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</si>
  <si>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</si>
  <si>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</si>
  <si>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</si>
  <si>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</si>
  <si>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</si>
  <si>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</si>
  <si>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</si>
  <si>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</si>
  <si>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</si>
  <si>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</si>
  <si>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</si>
  <si>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</si>
  <si>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</si>
  <si>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</si>
  <si>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</si>
  <si>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</si>
  <si>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</si>
  <si>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</si>
  <si>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</si>
  <si>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</si>
  <si>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</si>
  <si>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</si>
  <si>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</si>
  <si>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</si>
  <si>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</si>
  <si>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</si>
  <si>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</si>
  <si>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</si>
  <si>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</si>
  <si>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</si>
  <si>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</si>
  <si>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</si>
  <si>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</si>
  <si>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</si>
  <si>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</si>
  <si>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</si>
  <si>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</si>
  <si>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</si>
  <si>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</si>
  <si>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</si>
  <si>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</si>
  <si>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</si>
  <si>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</si>
  <si>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</si>
  <si>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</si>
  <si>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</si>
  <si>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</si>
  <si>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</si>
  <si>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</si>
  <si>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</si>
  <si>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</si>
  <si>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</si>
  <si>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</si>
  <si>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</si>
  <si>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</si>
  <si>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</si>
  <si>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</si>
  <si>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</si>
  <si>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</si>
  <si>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</si>
  <si>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</si>
  <si>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</si>
  <si>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</si>
  <si>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</si>
  <si>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</si>
  <si>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</si>
  <si>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</si>
  <si>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</si>
  <si>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</si>
  <si>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</si>
  <si>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</si>
  <si>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</si>
  <si>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</si>
  <si>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</si>
  <si>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</si>
  <si>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</si>
  <si>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</si>
  <si>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</si>
  <si>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</si>
  <si>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</si>
  <si>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</si>
  <si>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</si>
  <si>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</si>
  <si>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</si>
  <si>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</si>
  <si>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</si>
  <si>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</si>
  <si>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</si>
  <si>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</si>
  <si>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</si>
  <si>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</si>
  <si>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</si>
  <si>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</si>
  <si>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</si>
  <si>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</si>
  <si>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</si>
  <si>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</si>
  <si>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</si>
  <si>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</si>
  <si>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</si>
  <si>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</si>
  <si>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</si>
  <si>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</si>
  <si>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</si>
  <si>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</si>
  <si>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</si>
  <si>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</si>
  <si>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</si>
  <si>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</si>
  <si>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</si>
  <si>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</si>
  <si>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</si>
  <si>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</si>
  <si>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</si>
  <si>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</si>
  <si>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</si>
  <si>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</si>
  <si>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</si>
  <si>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</si>
  <si>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</si>
  <si>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</si>
  <si>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</si>
  <si>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</si>
  <si>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</si>
  <si>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</si>
  <si>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</si>
  <si>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</si>
  <si>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</si>
  <si>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</si>
  <si>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</si>
  <si>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</si>
  <si>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</si>
  <si>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</si>
  <si>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</si>
  <si>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</si>
  <si>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</si>
  <si>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</si>
  <si>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</si>
  <si>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</si>
  <si>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</si>
  <si>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</si>
  <si>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</si>
  <si>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</si>
  <si>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</si>
  <si>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</si>
  <si>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</si>
  <si>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</si>
  <si>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</si>
  <si>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</si>
  <si>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</si>
  <si>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</si>
  <si>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</si>
  <si>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</si>
  <si>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</si>
  <si>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</si>
  <si>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</si>
  <si>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</si>
  <si>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</si>
  <si>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</si>
  <si>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</si>
  <si>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</si>
  <si>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</si>
  <si>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</si>
  <si>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</si>
  <si>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</si>
  <si>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</si>
  <si>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</si>
  <si>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</si>
  <si>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</si>
  <si>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</si>
  <si>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</si>
  <si>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</si>
  <si>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</si>
  <si>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</si>
  <si>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</si>
  <si>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</si>
  <si>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</si>
  <si>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</si>
  <si>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</si>
  <si>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</si>
  <si>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</si>
  <si>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</si>
  <si>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</si>
  <si>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</si>
  <si>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</si>
  <si>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</si>
  <si>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</si>
  <si>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</si>
  <si>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</si>
  <si>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</si>
  <si>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</si>
  <si>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</si>
  <si>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</si>
  <si>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</si>
  <si>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</si>
  <si>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</si>
  <si>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</si>
  <si>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</si>
  <si>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</si>
  <si>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</si>
  <si>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</si>
  <si>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</si>
  <si>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</si>
  <si>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</si>
  <si>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</si>
  <si>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</si>
  <si>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</si>
  <si>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</si>
  <si>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</si>
  <si>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</si>
  <si>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</si>
  <si>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</si>
  <si>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</si>
  <si>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</si>
  <si>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</si>
  <si>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</si>
  <si>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</si>
  <si>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</si>
  <si>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</si>
  <si>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</si>
  <si>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</si>
  <si>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</si>
  <si>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</si>
  <si>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</si>
  <si>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</si>
  <si>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</si>
  <si>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</si>
  <si>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</si>
  <si>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</si>
  <si>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</si>
  <si>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</si>
  <si>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</si>
  <si>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</si>
  <si>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</si>
  <si>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</si>
  <si>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</si>
  <si>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</si>
  <si>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</si>
  <si>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</si>
  <si>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</si>
  <si>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</si>
  <si>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</si>
  <si>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</si>
  <si>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</si>
  <si>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</si>
  <si>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</si>
  <si>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</si>
  <si>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</si>
  <si>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</si>
  <si>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</si>
  <si>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</si>
  <si>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</si>
  <si>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</si>
  <si>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</si>
  <si>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</si>
  <si>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</si>
  <si>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</si>
  <si>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</si>
  <si>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</si>
  <si>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</si>
  <si>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</si>
  <si>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</si>
  <si>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</si>
  <si>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</si>
  <si>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</si>
  <si>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</si>
  <si>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</si>
  <si>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</si>
  <si>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</si>
  <si>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</si>
  <si>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</si>
  <si>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</si>
  <si>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</si>
  <si>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</si>
  <si>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</si>
  <si>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</si>
  <si>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</si>
  <si>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</si>
  <si>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</si>
  <si>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</si>
  <si>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</si>
  <si>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</si>
  <si>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</si>
  <si>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</si>
  <si>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</si>
  <si>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</si>
  <si>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</si>
  <si>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</si>
  <si>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</si>
  <si>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</si>
  <si>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</si>
  <si>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</si>
  <si>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</si>
  <si>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</si>
  <si>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</si>
  <si>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</si>
  <si>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</si>
  <si>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</si>
  <si>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</si>
  <si>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</si>
  <si>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</si>
  <si>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</si>
  <si>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</si>
  <si>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</si>
  <si>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</si>
  <si>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</si>
  <si>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</si>
  <si>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</si>
  <si>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</si>
  <si>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</si>
  <si>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</si>
  <si>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</si>
  <si>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</si>
  <si>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</si>
  <si>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</si>
  <si>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</si>
  <si>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</si>
  <si>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</si>
  <si>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</si>
  <si>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</si>
  <si>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</si>
  <si>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</si>
  <si>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</si>
  <si>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</si>
  <si>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</si>
  <si>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</si>
  <si>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</si>
  <si>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</si>
  <si>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</si>
  <si>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</si>
  <si>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</si>
  <si>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</si>
  <si>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</si>
  <si>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</si>
  <si>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</si>
  <si>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</si>
  <si>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</si>
  <si>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</si>
  <si>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</si>
  <si>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</si>
  <si>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</si>
  <si>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</si>
  <si>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</si>
  <si>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</si>
  <si>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</si>
  <si>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</si>
  <si>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</si>
  <si>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</si>
  <si>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</si>
  <si>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</si>
  <si>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</si>
  <si>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</si>
  <si>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</si>
  <si>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</si>
  <si>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</si>
  <si>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</si>
  <si>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</si>
  <si>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</si>
  <si>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</si>
  <si>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</si>
  <si>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</si>
  <si>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</si>
  <si>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</si>
  <si>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</si>
  <si>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</si>
  <si>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</si>
  <si>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</si>
  <si>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</si>
  <si>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</si>
  <si>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</si>
  <si>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</si>
  <si>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</si>
  <si>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</si>
  <si>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</si>
  <si>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</si>
  <si>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</si>
  <si>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</si>
  <si>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</si>
  <si>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</si>
  <si>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</si>
  <si>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</si>
  <si>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</si>
  <si>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</si>
  <si>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</si>
  <si>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</si>
  <si>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</si>
  <si>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</si>
  <si>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</si>
  <si>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</si>
  <si>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</si>
  <si>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</si>
  <si>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</si>
  <si>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</si>
  <si>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</si>
  <si>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</si>
  <si>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</si>
  <si>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</si>
  <si>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</si>
  <si>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</si>
  <si>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</si>
  <si>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</si>
  <si>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</si>
  <si>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</si>
  <si>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</si>
  <si>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</si>
  <si>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</si>
  <si>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</si>
  <si>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</si>
  <si>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</si>
  <si>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</si>
  <si>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</si>
  <si>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</si>
  <si>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</si>
  <si>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</si>
  <si>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</si>
  <si>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</si>
  <si>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</si>
  <si>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</si>
  <si>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</si>
  <si>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</si>
  <si>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</si>
  <si>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</si>
  <si>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</si>
  <si>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</si>
  <si>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</si>
  <si>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</si>
  <si>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</si>
  <si>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</si>
  <si>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</si>
  <si>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</si>
  <si>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</si>
  <si>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</si>
  <si>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</si>
  <si>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</si>
  <si>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</si>
  <si>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</si>
  <si>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</si>
  <si>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</si>
  <si>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</si>
  <si>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</si>
  <si>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</si>
  <si>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</si>
  <si>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</si>
  <si>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</si>
  <si>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</si>
  <si>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</si>
  <si>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</si>
  <si>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</si>
  <si>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</si>
  <si>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</si>
  <si>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</si>
  <si>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</si>
  <si>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</si>
  <si>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</si>
  <si>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</si>
  <si>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</si>
  <si>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</si>
  <si>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</si>
  <si>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</si>
  <si>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</si>
  <si>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</si>
  <si>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</si>
  <si>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</si>
  <si>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</si>
  <si>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</si>
  <si>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</si>
  <si>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</si>
  <si>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</si>
  <si>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</si>
  <si>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</si>
  <si>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</si>
  <si>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</si>
  <si>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</si>
  <si>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</si>
  <si>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</si>
  <si>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</si>
  <si>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</si>
  <si>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</si>
  <si>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</si>
  <si>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</si>
  <si>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</si>
  <si>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</si>
  <si>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</si>
  <si>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</si>
  <si>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</si>
  <si>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</si>
  <si>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</si>
  <si>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</si>
  <si>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</si>
  <si>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</si>
  <si>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</si>
  <si>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</si>
  <si>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</si>
  <si>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</si>
  <si>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</si>
  <si>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</si>
  <si>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</si>
  <si>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</si>
  <si>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</si>
  <si>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</si>
  <si>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</si>
  <si>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</si>
  <si>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</si>
  <si>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</si>
  <si>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</si>
  <si>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</si>
  <si>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</si>
  <si>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</si>
  <si>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</si>
  <si>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</si>
  <si>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</si>
  <si>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</si>
  <si>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</si>
  <si>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</si>
  <si>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</si>
  <si>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</si>
  <si>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</si>
  <si>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</si>
  <si>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</si>
  <si>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</si>
  <si>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</si>
  <si>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</si>
  <si>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</si>
  <si>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</si>
  <si>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</si>
  <si>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</si>
  <si>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</si>
  <si>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</si>
  <si>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</si>
  <si>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</si>
  <si>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</si>
  <si>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</si>
  <si>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</si>
  <si>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</si>
  <si>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</si>
  <si>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</si>
  <si>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</si>
  <si>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</si>
  <si>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</si>
  <si>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</si>
  <si>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</si>
  <si>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</si>
  <si>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</si>
  <si>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</si>
  <si>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</si>
  <si>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</si>
  <si>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</si>
  <si>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</si>
  <si>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</si>
  <si>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</si>
  <si>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</si>
  <si>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</si>
  <si>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</si>
  <si>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</si>
  <si>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</si>
  <si>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</si>
  <si>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</si>
  <si>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</si>
  <si>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</si>
  <si>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</si>
  <si>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</si>
  <si>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</si>
  <si>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</si>
  <si>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</si>
  <si>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</si>
  <si>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</si>
  <si>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</si>
  <si>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</si>
  <si>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</si>
  <si>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</si>
  <si>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</si>
  <si>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</si>
  <si>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</si>
  <si>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</si>
  <si>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</si>
  <si>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</si>
  <si>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</si>
  <si>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</si>
  <si>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</si>
  <si>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</si>
  <si>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</si>
  <si>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</si>
  <si>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</si>
  <si>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</si>
  <si>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</si>
  <si>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</si>
  <si>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</si>
  <si>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</si>
  <si>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</si>
  <si>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</si>
  <si>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</si>
  <si>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</si>
  <si>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</si>
  <si>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</si>
  <si>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</si>
  <si>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</si>
  <si>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</si>
  <si>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</si>
  <si>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</si>
  <si>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</si>
  <si>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</si>
  <si>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</si>
  <si>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</si>
  <si>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</si>
  <si>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</si>
  <si>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</si>
  <si>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</si>
  <si>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</si>
  <si>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</si>
  <si>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</si>
  <si>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</si>
  <si>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</si>
  <si>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</si>
  <si>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</si>
  <si>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</si>
  <si>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</si>
  <si>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</si>
  <si>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</si>
  <si>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</si>
  <si>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</si>
  <si>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</si>
  <si>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</si>
  <si>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</si>
  <si>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</si>
  <si>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</si>
  <si>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</si>
  <si>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</si>
  <si>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</si>
  <si>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</si>
  <si>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</si>
  <si>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</si>
  <si>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</si>
  <si>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</si>
  <si>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</si>
  <si>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</si>
  <si>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</si>
  <si>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</si>
  <si>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</si>
  <si>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</si>
  <si>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</si>
  <si>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</si>
  <si>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</si>
  <si>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</si>
  <si>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</si>
  <si>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</si>
  <si>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</si>
  <si>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</si>
  <si>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</si>
  <si>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</si>
  <si>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</si>
  <si>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</si>
  <si>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</si>
  <si>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</si>
  <si>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</si>
  <si>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</si>
  <si>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</si>
  <si>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</si>
  <si>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</si>
  <si>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</si>
  <si>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</si>
  <si>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</si>
  <si>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</si>
  <si>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</si>
  <si>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</si>
  <si>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</si>
  <si>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</si>
  <si>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</si>
  <si>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</si>
  <si>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</si>
  <si>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</si>
  <si>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</si>
  <si>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</si>
  <si>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</si>
  <si>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</si>
  <si>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</si>
  <si>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</si>
  <si>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</si>
  <si>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</si>
  <si>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</si>
  <si>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</si>
  <si>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</si>
  <si>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</si>
  <si>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</si>
  <si>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</si>
  <si>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</si>
  <si>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</si>
  <si>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</si>
  <si>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</si>
  <si>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</si>
  <si>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</si>
  <si>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</si>
  <si>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</si>
  <si>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</si>
  <si>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</si>
  <si>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</si>
  <si>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</si>
  <si>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</si>
  <si>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</si>
  <si>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</si>
  <si>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</si>
  <si>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</si>
  <si>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</si>
  <si>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</si>
  <si>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</si>
  <si>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</si>
  <si>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</si>
  <si>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</si>
  <si>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</si>
  <si>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</si>
  <si>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</si>
  <si>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</si>
  <si>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</si>
  <si>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</si>
  <si>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</si>
  <si>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</si>
  <si>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</si>
  <si>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</si>
  <si>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</si>
  <si>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</si>
  <si>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</si>
  <si>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</si>
  <si>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</si>
  <si>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</si>
  <si>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</si>
  <si>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</si>
  <si>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</si>
  <si>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</si>
  <si>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</si>
  <si>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</si>
  <si>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</si>
  <si>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</si>
  <si>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</si>
  <si>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</si>
  <si>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</si>
  <si>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</si>
  <si>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</si>
  <si>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</si>
  <si>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</si>
  <si>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</si>
  <si>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</si>
  <si>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</si>
  <si>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</si>
  <si>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</si>
  <si>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</si>
  <si>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</si>
  <si>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</si>
  <si>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</si>
  <si>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</si>
  <si>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</si>
  <si>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</si>
  <si>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</si>
  <si>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</si>
  <si>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</si>
  <si>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</si>
  <si>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</si>
  <si>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</si>
  <si>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</si>
  <si>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</si>
  <si>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</si>
  <si>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</si>
  <si>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</si>
  <si>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</si>
  <si>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</si>
  <si>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</si>
  <si>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</si>
  <si>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</si>
  <si>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</si>
  <si>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</si>
  <si>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</si>
  <si>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</si>
  <si>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</si>
  <si>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</si>
  <si>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</si>
  <si>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</si>
  <si>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</si>
  <si>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</si>
  <si>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</si>
  <si>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</si>
  <si>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</si>
  <si>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</si>
  <si>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</si>
  <si>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</si>
  <si>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</si>
  <si>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</si>
  <si>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</si>
  <si>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</si>
  <si>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</si>
  <si>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</si>
  <si>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</si>
  <si>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</si>
  <si>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</si>
  <si>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</si>
  <si>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</si>
  <si>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</si>
  <si>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</si>
  <si>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</si>
  <si>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</si>
  <si>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</si>
  <si>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</si>
  <si>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</si>
  <si>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</si>
  <si>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</si>
  <si>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</si>
  <si>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</si>
  <si>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</si>
  <si>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</si>
  <si>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</si>
  <si>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</si>
  <si>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</si>
  <si>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</si>
  <si>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</si>
  <si>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</si>
  <si>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</si>
  <si>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</si>
  <si>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</si>
  <si>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</si>
  <si>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</si>
  <si>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</si>
  <si>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</si>
  <si>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</si>
  <si>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</si>
  <si>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</si>
  <si>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</si>
  <si>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</si>
  <si>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</si>
  <si>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</si>
  <si>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</si>
  <si>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</si>
  <si>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</si>
  <si>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</si>
  <si>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</si>
  <si>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</si>
  <si>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</si>
  <si>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</si>
  <si>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</si>
  <si>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</si>
  <si>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</si>
  <si>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</si>
  <si>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</si>
  <si>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</si>
  <si>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</si>
  <si>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</si>
  <si>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</si>
  <si>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</si>
  <si>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</si>
  <si>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</si>
  <si>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</si>
  <si>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</si>
  <si>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</si>
  <si>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</si>
  <si>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</si>
  <si>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</si>
  <si>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</si>
  <si>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</si>
  <si>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</si>
  <si>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</si>
  <si>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</si>
  <si>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</si>
  <si>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</si>
  <si>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</si>
  <si>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</si>
  <si>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</si>
  <si>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</si>
  <si>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</si>
  <si>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</si>
  <si>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</si>
  <si>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</si>
  <si>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</si>
  <si>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</si>
  <si>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</si>
  <si>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</si>
  <si>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</si>
  <si>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</si>
  <si>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</si>
  <si>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</si>
  <si>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</si>
  <si>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</si>
  <si>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</si>
  <si>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</si>
  <si>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</si>
  <si>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</si>
  <si>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</si>
  <si>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</si>
  <si>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</si>
  <si>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</si>
  <si>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</si>
  <si>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</si>
  <si>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</si>
  <si>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</si>
  <si>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</si>
  <si>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</si>
  <si>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</si>
  <si>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</si>
  <si>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</si>
  <si>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</si>
  <si>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</si>
  <si>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</si>
  <si>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</si>
  <si>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</si>
  <si>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</si>
  <si>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</si>
  <si>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</si>
  <si>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</si>
  <si>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</si>
  <si>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</si>
  <si>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</si>
  <si>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</si>
  <si>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</si>
  <si>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</si>
  <si>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</si>
  <si>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</si>
  <si>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</si>
  <si>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</si>
  <si>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</si>
  <si>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</si>
  <si>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</si>
  <si>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</si>
  <si>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</si>
  <si>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</si>
  <si>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</si>
  <si>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</si>
  <si>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</si>
  <si>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</si>
  <si>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</si>
  <si>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</si>
  <si>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</si>
  <si>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</si>
  <si>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</si>
  <si>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</si>
  <si>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</si>
  <si>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</si>
  <si>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</si>
  <si>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</si>
  <si>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</si>
  <si>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</si>
  <si>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</si>
  <si>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</si>
  <si>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</si>
  <si>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</si>
  <si>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</si>
  <si>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</si>
  <si>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</si>
  <si>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</si>
  <si>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</si>
  <si>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</si>
  <si>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</si>
  <si>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</si>
  <si>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</si>
  <si>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</si>
  <si>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</si>
  <si>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</si>
  <si>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</si>
  <si>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</si>
  <si>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</si>
  <si>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</si>
  <si>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</si>
  <si>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</si>
  <si>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</si>
  <si>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</si>
  <si>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</si>
  <si>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</si>
  <si>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</si>
  <si>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</si>
  <si>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</si>
  <si>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</si>
  <si>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</si>
  <si>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</si>
  <si>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</si>
  <si>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</si>
  <si>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</si>
  <si>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</si>
  <si>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</si>
  <si>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</si>
  <si>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</si>
  <si>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</si>
  <si>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</si>
  <si>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</si>
  <si>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</si>
  <si>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</si>
  <si>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</si>
  <si>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</si>
  <si>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</si>
  <si>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</si>
  <si>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</si>
  <si>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</si>
  <si>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</si>
  <si>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</si>
  <si>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</si>
  <si>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</si>
  <si>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</si>
  <si>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</si>
  <si>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</si>
  <si>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</si>
  <si>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</si>
  <si>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</si>
  <si>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</si>
  <si>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</si>
  <si>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</si>
  <si>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</si>
  <si>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</si>
  <si>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</si>
  <si>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</si>
  <si>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</si>
  <si>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</si>
  <si>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</si>
  <si>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</si>
  <si>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</si>
  <si>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</si>
  <si>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</si>
  <si>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</si>
  <si>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</si>
  <si>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</si>
  <si>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</si>
  <si>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</si>
  <si>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</si>
  <si>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</si>
  <si>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</si>
  <si>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</si>
  <si>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</si>
  <si>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</si>
  <si>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</si>
  <si>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</si>
  <si>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</si>
  <si>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</si>
  <si>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</si>
  <si>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</si>
  <si>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</si>
  <si>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</si>
  <si>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</si>
  <si>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</si>
  <si>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</si>
  <si>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</si>
  <si>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</si>
  <si>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</si>
  <si>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</si>
  <si>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</si>
  <si>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</si>
  <si>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</si>
  <si>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</si>
  <si>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</si>
  <si>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</si>
  <si>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</si>
  <si>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</si>
  <si>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</si>
  <si>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</si>
  <si>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</si>
  <si>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</si>
  <si>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</si>
  <si>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</si>
  <si>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</si>
  <si>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</si>
  <si>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</si>
  <si>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</si>
  <si>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</si>
  <si>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</si>
  <si>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</si>
  <si>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</si>
  <si>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</si>
  <si>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</si>
  <si>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</si>
  <si>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</si>
  <si>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</si>
  <si>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</si>
  <si>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</si>
  <si>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</si>
  <si>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</si>
  <si>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</si>
  <si>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</si>
  <si>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</si>
  <si>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</si>
  <si>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</si>
  <si>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</si>
  <si>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</si>
  <si>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</si>
  <si>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</si>
  <si>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</si>
  <si>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</si>
  <si>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</si>
  <si>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</si>
  <si>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</si>
  <si>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</si>
  <si>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</si>
  <si>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</si>
  <si>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</si>
  <si>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</si>
  <si>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</si>
  <si>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</si>
  <si>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</si>
  <si>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</si>
  <si>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</si>
  <si>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</si>
  <si>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</si>
  <si>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</si>
  <si>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</si>
  <si>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</si>
  <si>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</si>
  <si>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</si>
  <si>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</si>
  <si>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</si>
  <si>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</si>
  <si>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</si>
  <si>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</si>
  <si>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</si>
  <si>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</si>
  <si>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</si>
  <si>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</si>
  <si>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</si>
  <si>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</si>
  <si>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</si>
  <si>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</si>
  <si>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</si>
  <si>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</si>
  <si>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</si>
  <si>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</si>
  <si>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</si>
  <si>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</si>
  <si>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</si>
  <si>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</si>
  <si>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</si>
  <si>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</si>
  <si>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</si>
  <si>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</si>
  <si>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</si>
  <si>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</si>
  <si>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</si>
  <si>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</si>
  <si>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</si>
  <si>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</si>
  <si>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</si>
  <si>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</si>
  <si>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</si>
  <si>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</si>
  <si>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</si>
  <si>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</si>
  <si>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</si>
  <si>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</si>
  <si>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</si>
  <si>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</si>
  <si>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</si>
  <si>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</si>
  <si>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</si>
  <si>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</si>
  <si>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</si>
  <si>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</si>
  <si>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</si>
  <si>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</si>
  <si>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</si>
  <si>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</si>
  <si>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</si>
  <si>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</si>
  <si>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</si>
  <si>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</si>
  <si>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</si>
  <si>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</si>
  <si>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</si>
  <si>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</si>
  <si>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</si>
  <si>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</si>
  <si>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</si>
  <si>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</si>
  <si>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</si>
  <si>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</si>
  <si>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</si>
  <si>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</si>
  <si>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</si>
  <si>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</si>
  <si>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</si>
  <si>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</si>
  <si>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</si>
  <si>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</si>
  <si>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</si>
  <si>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</si>
  <si>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</si>
  <si>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</si>
  <si>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</si>
  <si>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</si>
  <si>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</si>
  <si>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</si>
  <si>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</si>
  <si>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</si>
  <si>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</si>
  <si>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</si>
  <si>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</si>
  <si>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</si>
  <si>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</si>
  <si>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</si>
  <si>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</si>
  <si>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</si>
  <si>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</si>
  <si>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</si>
  <si>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</si>
  <si>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</si>
  <si>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</si>
  <si>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</si>
  <si>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</si>
  <si>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</si>
  <si>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</si>
  <si>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</si>
  <si>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</si>
  <si>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</si>
  <si>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</si>
  <si>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</si>
  <si>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</si>
  <si>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</si>
  <si>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</si>
  <si>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</si>
  <si>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</si>
  <si>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</si>
  <si>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</si>
  <si>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</si>
  <si>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</si>
  <si>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</si>
  <si>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</si>
  <si>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</si>
  <si>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</si>
  <si>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</si>
  <si>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</si>
  <si>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</si>
  <si>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</si>
  <si>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</si>
  <si>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</si>
  <si>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</si>
  <si>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</si>
  <si>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</si>
  <si>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</si>
  <si>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</si>
  <si>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</si>
  <si>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</si>
  <si>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</si>
  <si>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</si>
  <si>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</si>
  <si>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</si>
  <si>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</si>
  <si>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</si>
  <si>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</si>
  <si>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</si>
  <si>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</si>
  <si>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</si>
  <si>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</si>
  <si>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</si>
  <si>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</si>
  <si>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</si>
  <si>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</si>
  <si>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</si>
  <si>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</si>
  <si>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</si>
  <si>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</si>
  <si>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</si>
  <si>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</si>
  <si>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</si>
  <si>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</si>
  <si>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</si>
  <si>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</si>
  <si>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</si>
  <si>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</si>
  <si>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</si>
  <si>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</si>
  <si>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</si>
  <si>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</si>
  <si>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</si>
  <si>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</si>
  <si>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</si>
  <si>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</si>
  <si>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</si>
  <si>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</si>
  <si>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</si>
  <si>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</si>
  <si>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</si>
  <si>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</si>
  <si>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</si>
  <si>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</si>
  <si>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</si>
  <si>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</si>
  <si>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</si>
  <si>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</si>
  <si>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</si>
  <si>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</si>
  <si>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</si>
  <si>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</si>
  <si>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</si>
  <si>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</si>
  <si>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</si>
  <si>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</si>
  <si>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</si>
  <si>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</si>
  <si>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</si>
  <si>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</si>
  <si>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</si>
  <si>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</si>
  <si>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</si>
  <si>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</si>
  <si>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</si>
  <si>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</si>
  <si>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</si>
  <si>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</si>
  <si>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</si>
  <si>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</si>
  <si>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</si>
  <si>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</si>
  <si>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</si>
  <si>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</si>
  <si>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</si>
  <si>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</si>
  <si>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</si>
  <si>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</si>
  <si>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</si>
  <si>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</si>
  <si>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</si>
  <si>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</si>
  <si>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</si>
  <si>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</si>
  <si>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</si>
  <si>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</si>
  <si>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</si>
  <si>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</si>
  <si>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</si>
  <si>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</si>
  <si>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</si>
  <si>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</si>
  <si>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</si>
  <si>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</si>
  <si>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</si>
  <si>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</si>
  <si>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</si>
  <si>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</si>
  <si>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</si>
  <si>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</si>
  <si>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</si>
  <si>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</si>
  <si>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</si>
  <si>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</si>
  <si>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</si>
  <si>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</si>
  <si>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</si>
  <si>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</si>
  <si>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</si>
  <si>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</si>
  <si>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</si>
  <si>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</si>
  <si>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</si>
  <si>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</si>
  <si>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</si>
  <si>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</si>
  <si>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</si>
  <si>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</si>
  <si>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</si>
  <si>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</si>
  <si>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</si>
  <si>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</si>
  <si>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of latrines in TLS/CFS</t>
  </si>
  <si>
    <r>
      <t xml:space="preserve"># of households receiving </t>
    </r>
    <r>
      <rPr>
        <b/>
        <u/>
        <sz val="10"/>
        <rFont val="Corbel"/>
        <family val="2"/>
      </rPr>
      <t>household water storage items</t>
    </r>
  </si>
  <si>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</si>
  <si>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</si>
  <si>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</si>
  <si>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</si>
  <si>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</si>
  <si>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</si>
  <si>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</si>
  <si>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</si>
  <si>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</si>
  <si>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</si>
  <si>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</si>
  <si>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</si>
  <si>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</si>
  <si>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</si>
  <si>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</si>
  <si>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</si>
  <si>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</si>
  <si>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</si>
  <si>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</si>
  <si>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</si>
  <si>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</si>
  <si>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</si>
  <si>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</si>
  <si>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</si>
  <si>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</si>
  <si>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</si>
  <si>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</si>
  <si>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</si>
  <si>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</si>
  <si>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</si>
  <si>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</si>
  <si>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</si>
  <si>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</si>
  <si>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</si>
  <si>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</si>
  <si>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</si>
  <si>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</si>
  <si>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</si>
  <si>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</si>
  <si>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</si>
  <si>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</si>
  <si>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</si>
  <si>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</si>
  <si>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</si>
  <si>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</si>
  <si>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</si>
  <si>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</si>
  <si>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</si>
  <si>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</si>
  <si>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</si>
  <si>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</si>
  <si>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</si>
  <si>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</si>
  <si>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</si>
  <si>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</si>
  <si>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</si>
  <si>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</si>
  <si>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</si>
  <si>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</si>
  <si>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</si>
  <si>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</si>
  <si>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</si>
  <si>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</si>
  <si>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</si>
  <si>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</si>
  <si>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</si>
  <si>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</si>
  <si>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</si>
  <si>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</si>
  <si>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</si>
  <si>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</si>
  <si>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</si>
  <si>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</si>
  <si>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</si>
  <si>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</si>
  <si>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</si>
  <si>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</si>
  <si>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</si>
  <si>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</si>
  <si>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</si>
  <si>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</si>
  <si>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</si>
  <si>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</si>
  <si>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</si>
  <si>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</si>
  <si>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</si>
  <si>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</si>
  <si>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</si>
  <si>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</si>
  <si>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</si>
  <si>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</si>
  <si>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</si>
  <si>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</si>
  <si>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</si>
  <si>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</si>
  <si>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</si>
  <si>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</si>
  <si>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</si>
  <si>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</si>
  <si>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</si>
  <si>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</si>
  <si>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</si>
  <si>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</si>
  <si>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</si>
  <si>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</si>
  <si>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</si>
  <si>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</si>
  <si>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</si>
  <si>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</si>
  <si>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</si>
  <si>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</si>
  <si>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</si>
  <si>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</si>
  <si>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</si>
  <si>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</si>
  <si>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</si>
  <si>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</si>
  <si>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</si>
  <si>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</si>
  <si>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</si>
  <si>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</si>
  <si>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</si>
  <si>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</si>
  <si>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</si>
  <si>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</si>
  <si>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</si>
  <si>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</si>
  <si>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</si>
  <si>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</si>
  <si>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</si>
  <si>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</si>
  <si>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</si>
  <si>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</si>
  <si>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</si>
  <si>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</si>
  <si>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</si>
  <si>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</si>
  <si>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</si>
  <si>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</si>
  <si>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</si>
  <si>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</si>
  <si>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</si>
  <si>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</si>
  <si>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</si>
  <si>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</si>
  <si>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</si>
  <si>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</si>
  <si>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</si>
  <si>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</si>
  <si>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</si>
  <si>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</si>
  <si>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</si>
  <si>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</si>
  <si>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</si>
  <si>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</si>
  <si>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</si>
  <si>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</si>
  <si>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</si>
  <si>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</si>
  <si>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</si>
  <si>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</si>
  <si>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</si>
  <si>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</si>
  <si>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</si>
  <si>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</si>
  <si>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</si>
  <si>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</si>
  <si>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</si>
  <si>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</si>
  <si>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</si>
  <si>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</si>
  <si>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</si>
  <si>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</si>
  <si>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</si>
  <si>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</si>
  <si>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</si>
  <si>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</si>
  <si>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</si>
  <si>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 Population reached by regular dedicated hygiene promotion</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</si>
  <si>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</si>
  <si>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</si>
  <si>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</si>
  <si>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</si>
  <si>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</si>
  <si>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</si>
  <si>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</si>
  <si>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</si>
  <si>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</si>
  <si>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</si>
  <si>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</si>
  <si>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</si>
  <si>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</si>
  <si>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</si>
  <si>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</si>
  <si>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</si>
  <si>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</si>
  <si>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</si>
  <si>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</si>
  <si>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</si>
  <si>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</si>
  <si>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</si>
  <si>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</si>
  <si>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</si>
  <si>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</si>
  <si>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</si>
  <si>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</si>
  <si>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</si>
  <si>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</si>
  <si>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</si>
  <si>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</si>
  <si>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</si>
  <si>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</si>
  <si>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</si>
  <si>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</si>
  <si>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</si>
  <si>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</si>
  <si>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10/1/2020, 3/1/2019</t>
  </si>
  <si>
    <t>12/31/2020, 2/28/2022</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</si>
  <si>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</si>
  <si>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</si>
  <si>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</si>
  <si>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</si>
  <si>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</si>
  <si>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</si>
  <si>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</si>
  <si>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</si>
  <si>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</si>
  <si>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</si>
  <si>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</si>
  <si>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</si>
  <si>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</si>
  <si>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 HH with access to soap</t>
  </si>
  <si>
    <t>Sum of #_of_affected_households_receiving_a_sufficient_quantity_of_soap</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</si>
  <si>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</si>
  <si>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</si>
  <si>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</si>
  <si>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</si>
  <si>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</si>
  <si>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</si>
  <si>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</si>
  <si>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</si>
  <si>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</si>
  <si>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</si>
  <si>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</si>
  <si>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</si>
  <si>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</si>
  <si>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</si>
  <si>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</si>
  <si>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</si>
  <si>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r>
      <t># of litres of water supplied by water boating/trucking during water scarcity to total</t>
    </r>
    <r>
      <rPr>
        <b/>
        <sz val="10"/>
        <rFont val="Corbel"/>
        <family val="2"/>
      </rPr>
      <t xml:space="preserve"> population</t>
    </r>
    <r>
      <rPr>
        <sz val="10"/>
        <rFont val="Corbel"/>
        <family val="2"/>
      </rPr>
      <t xml:space="preserve"> in the site </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</si>
  <si>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</si>
  <si>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</si>
  <si>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</si>
  <si>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</si>
  <si>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</si>
  <si>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</si>
  <si>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</si>
  <si>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</si>
  <si>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</si>
  <si>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</si>
  <si>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</si>
  <si>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</si>
  <si>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</si>
  <si>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</si>
  <si>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</si>
  <si>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</si>
  <si>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</si>
  <si>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</si>
  <si>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</si>
  <si>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</si>
  <si>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</si>
  <si>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</si>
  <si>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</si>
  <si>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</si>
  <si>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</si>
  <si>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</si>
  <si>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</si>
  <si>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</si>
  <si>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</si>
  <si>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</si>
  <si>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</si>
  <si>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</si>
  <si>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</si>
  <si>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</si>
  <si>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</si>
  <si>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</si>
  <si>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 xml:space="preserve"># of functional </t>
    </r>
    <r>
      <rPr>
        <b/>
        <u/>
        <sz val="10"/>
        <color rgb="FFFF0000"/>
        <rFont val="Corbel"/>
        <family val="2"/>
      </rPr>
      <t>children latrines</t>
    </r>
    <r>
      <rPr>
        <sz val="10"/>
        <color rgb="FFFF0000"/>
        <rFont val="Corbel"/>
        <family val="2"/>
      </rPr>
      <t xml:space="preserve"> that meet design requirements in the site operating during reporting period</t>
    </r>
  </si>
  <si>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</si>
  <si>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</si>
  <si>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</si>
  <si>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</si>
  <si>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</si>
  <si>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</si>
  <si>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</si>
  <si>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</si>
  <si>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</si>
  <si>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</si>
  <si>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</si>
  <si>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</si>
  <si>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</si>
  <si>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</si>
  <si>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</si>
  <si>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</si>
  <si>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</si>
  <si>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</si>
  <si>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</si>
  <si>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</si>
  <si>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</si>
  <si>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</si>
  <si>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</si>
  <si>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</si>
  <si>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Sum of #_of_latrines_desludged </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</si>
  <si>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</si>
  <si>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</si>
  <si>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</si>
  <si>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</si>
  <si>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</si>
  <si>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</si>
  <si>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</si>
  <si>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</si>
  <si>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</si>
  <si>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</si>
  <si>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</si>
  <si>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</si>
  <si>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</si>
  <si>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</si>
  <si>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</si>
  <si>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</si>
  <si>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</si>
  <si>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4W Activities (2022)</t>
  </si>
  <si>
    <t>Date</t>
  </si>
  <si>
    <t>amount_of_MMK/Voucher_or_Token_distributed_per_HH/Family</t>
  </si>
  <si>
    <t>#_of_Family/HH_Reached</t>
  </si>
  <si>
    <t>Date_of_Cash_distribution</t>
  </si>
  <si>
    <t>Cash_distributed_for_which_items</t>
  </si>
  <si>
    <t>2022_Q1</t>
  </si>
  <si>
    <t>2022_Q2</t>
  </si>
  <si>
    <t>2022_Q3</t>
  </si>
  <si>
    <t>2022_Q4</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</si>
  <si>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</si>
  <si>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</si>
  <si>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CDA provided 367 UNICEF Logo bucket (20 liter and 10 liters) to Kyauk Talone camp in March 2022.</t>
  </si>
  <si>
    <t>10% of women complained this PD sanitation pad because these pads are thin and not confortable  for day using but better using for night time.</t>
  </si>
  <si>
    <t>The result of percentage indicators were from the KAP survey conducted in Sep 2021. The next survey will be done in April 2022.</t>
  </si>
  <si>
    <t>Distribution done in March covering 3 months</t>
  </si>
  <si>
    <t xml:space="preserve"> ,</t>
  </si>
  <si>
    <t>Distribution done in March covering 2 months</t>
  </si>
  <si>
    <t>Distribution done March covering 3 months</t>
  </si>
  <si>
    <t>water testing in STM- IDP, we distributed chlorination water and tested FRC result is 100&amp; good.</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</si>
  <si>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</si>
  <si>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</si>
  <si>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</si>
  <si>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</si>
  <si>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</si>
  <si>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</si>
  <si>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</si>
  <si>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</si>
  <si>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</si>
  <si>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</si>
  <si>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</si>
  <si>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</si>
  <si>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</si>
  <si>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</si>
  <si>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</si>
  <si>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</si>
  <si>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</si>
  <si>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</si>
  <si>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</si>
  <si>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</si>
  <si>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</si>
  <si>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 in active camps (20:1)</t>
  </si>
  <si>
    <t>Sum of # people access to functioning latrines in THF_HRP6</t>
  </si>
  <si>
    <t>nRS
(Stateless)</t>
  </si>
  <si>
    <t>nRS
(Others)</t>
  </si>
  <si>
    <t>WHO</t>
  </si>
  <si>
    <t>WHERE</t>
  </si>
  <si>
    <t>WHEN</t>
  </si>
  <si>
    <t>2022-2nd Qtr 4W Camp DASHBOARD</t>
  </si>
  <si>
    <t>FCDO</t>
  </si>
  <si>
    <t>01 August 2022, 15 March 2022, 1 April 2022</t>
  </si>
  <si>
    <t>31 July 2023, 14 Dec 2022, 31 March 2023</t>
  </si>
  <si>
    <t>No new HH was registered during 2022</t>
  </si>
  <si>
    <t>The result of percentage indicators were from the KAP survey conducted in April 2022.</t>
  </si>
  <si>
    <t>Water Container (Gora -15 L, Plastic Container - 24L) were distributed to newly registered HH in Census data in 2022</t>
  </si>
  <si>
    <t xml:space="preserve">percentage indicator result is from the last Satisfaction Survey report conducted in Jan 2022. </t>
  </si>
  <si>
    <t>RAKHINE STATE - IDP sites  (2022 - Qtr 2 - 4W Analysis, as of 30 June 2022)</t>
  </si>
  <si>
    <t>Q1</t>
  </si>
  <si>
    <t>Q2</t>
  </si>
  <si>
    <t>2022 HRP Calculation</t>
  </si>
  <si>
    <t xml:space="preserve">HRP 2022 Indicators </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</si>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</sst>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6">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6" tint="-0.249977111117893"/>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sz val="10"/>
      <color rgb="FF2C2C2C"/>
      <name val="Corbel"/>
      <family val="2"/>
    </font>
    <font>
      <sz val="12"/>
      <color theme="1"/>
      <name val="Calibri"/>
      <family val="2"/>
      <scheme val="minor"/>
    </font>
    <font>
      <sz val="12"/>
      <color theme="0"/>
      <name val="Calibri"/>
      <family val="2"/>
      <scheme val="minor"/>
    </font>
    <font>
      <sz val="12"/>
      <name val="Calibri"/>
      <family val="2"/>
      <scheme val="minor"/>
    </font>
    <font>
      <sz val="11"/>
      <color theme="1"/>
      <name val="Calibri"/>
      <family val="2"/>
      <scheme val="minor"/>
    </font>
    <font>
      <b/>
      <sz val="11"/>
      <color theme="0"/>
      <name val="Calibri"/>
      <family val="2"/>
      <scheme val="minor"/>
    </font>
  </fonts>
  <fills count="61">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s>
  <borders count="171">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style="double">
        <color rgb="FFFF0000"/>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double">
        <color rgb="FFFF0000"/>
      </left>
      <right style="medium">
        <color rgb="FF0070C0"/>
      </right>
      <top style="thin">
        <color rgb="FF0070C0"/>
      </top>
      <bottom style="double">
        <color rgb="FFFF0000"/>
      </bottom>
      <diagonal/>
    </border>
    <border>
      <left style="thin">
        <color rgb="FF0070C0"/>
      </left>
      <right style="medium">
        <color rgb="FF0070C0"/>
      </right>
      <top style="thin">
        <color rgb="FF0070C0"/>
      </top>
      <bottom style="double">
        <color rgb="FFFF000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double">
        <color rgb="FFFF0000"/>
      </left>
      <right/>
      <top style="thin">
        <color rgb="FF0070C0"/>
      </top>
      <bottom/>
      <diagonal/>
    </border>
    <border>
      <left style="thin">
        <color rgb="FF0070C0"/>
      </left>
      <right/>
      <top style="thin">
        <color rgb="FF0070C0"/>
      </top>
      <bottom/>
      <diagonal/>
    </border>
    <border>
      <left style="thin">
        <color rgb="FF0070C0"/>
      </left>
      <right/>
      <top style="thin">
        <color rgb="FF0070C0"/>
      </top>
      <bottom style="double">
        <color rgb="FFFF0000"/>
      </bottom>
      <diagonal/>
    </border>
    <border>
      <left style="double">
        <color rgb="FFFF0000"/>
      </left>
      <right style="medium">
        <color rgb="FF0070C0"/>
      </right>
      <top style="thin">
        <color rgb="FF0070C0"/>
      </top>
      <bottom style="thin">
        <color rgb="FF0070C0"/>
      </bottom>
      <diagonal/>
    </border>
    <border>
      <left/>
      <right style="double">
        <color rgb="FFFF0000"/>
      </right>
      <top style="double">
        <color rgb="FFFF0000"/>
      </top>
      <bottom style="thin">
        <color rgb="FF0070C0"/>
      </bottom>
      <diagonal/>
    </border>
  </borders>
  <cellStyleXfs count="43">
    <xf numFmtId="0" fontId="0" fillId="0" borderId="0"/>
    <xf numFmtId="9" fontId="19" fillId="0" borderId="0" applyFont="0" applyFill="0" applyBorder="0" applyAlignment="0" applyProtection="0"/>
    <xf numFmtId="0" fontId="20" fillId="0" borderId="0"/>
    <xf numFmtId="9"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20" fillId="0" borderId="0" applyFont="0" applyFill="0" applyBorder="0" applyAlignment="0" applyProtection="0"/>
    <xf numFmtId="166" fontId="20" fillId="0" borderId="0"/>
    <xf numFmtId="0" fontId="46" fillId="0" borderId="0"/>
    <xf numFmtId="0" fontId="46" fillId="0" borderId="0"/>
    <xf numFmtId="0" fontId="18" fillId="0" borderId="0"/>
    <xf numFmtId="9" fontId="18" fillId="0" borderId="0" applyFont="0" applyFill="0" applyBorder="0" applyAlignment="0" applyProtection="0"/>
    <xf numFmtId="0" fontId="68" fillId="0" borderId="27" applyNumberFormat="0" applyFill="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166" fontId="16" fillId="0" borderId="0"/>
    <xf numFmtId="0" fontId="17" fillId="0" borderId="0"/>
    <xf numFmtId="9" fontId="17" fillId="0" borderId="0" applyFont="0" applyFill="0" applyBorder="0" applyAlignment="0" applyProtection="0"/>
    <xf numFmtId="0" fontId="46" fillId="0" borderId="0"/>
    <xf numFmtId="0" fontId="19" fillId="0" borderId="0"/>
    <xf numFmtId="0" fontId="51" fillId="24" borderId="0" applyNumberFormat="0" applyBorder="0" applyAlignment="0" applyProtection="0"/>
    <xf numFmtId="0" fontId="52" fillId="25" borderId="0" applyNumberFormat="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cellStyleXfs>
  <cellXfs count="1041">
    <xf numFmtId="0" fontId="0" fillId="0" borderId="0" xfId="0"/>
    <xf numFmtId="0" fontId="23" fillId="2" borderId="1" xfId="0" applyFont="1" applyFill="1" applyBorder="1" applyAlignment="1">
      <alignment horizontal="left" vertical="center" readingOrder="1"/>
    </xf>
    <xf numFmtId="0" fontId="23" fillId="5" borderId="2" xfId="0" applyFont="1" applyFill="1" applyBorder="1" applyAlignment="1">
      <alignment horizontal="left" vertical="center" readingOrder="1"/>
    </xf>
    <xf numFmtId="0" fontId="23" fillId="8" borderId="2" xfId="0" applyFont="1" applyFill="1" applyBorder="1" applyAlignment="1">
      <alignment horizontal="left" vertical="center" readingOrder="1"/>
    </xf>
    <xf numFmtId="0" fontId="23" fillId="8" borderId="3" xfId="0" applyFont="1" applyFill="1" applyBorder="1" applyAlignment="1">
      <alignment horizontal="left" vertical="center" readingOrder="1"/>
    </xf>
    <xf numFmtId="0" fontId="23" fillId="9" borderId="2" xfId="0" applyFont="1" applyFill="1" applyBorder="1" applyAlignment="1">
      <alignment horizontal="left" vertical="center" readingOrder="1"/>
    </xf>
    <xf numFmtId="0" fontId="24" fillId="3" borderId="1" xfId="0" applyFont="1" applyFill="1" applyBorder="1" applyAlignment="1">
      <alignment horizontal="left" vertical="center" readingOrder="1"/>
    </xf>
    <xf numFmtId="0" fontId="24" fillId="4" borderId="2" xfId="0" applyFont="1" applyFill="1" applyBorder="1" applyAlignment="1">
      <alignment horizontal="left" vertical="center" readingOrder="1"/>
    </xf>
    <xf numFmtId="0" fontId="24" fillId="3" borderId="2" xfId="0" applyFont="1" applyFill="1" applyBorder="1" applyAlignment="1">
      <alignment horizontal="left" vertical="center" readingOrder="1"/>
    </xf>
    <xf numFmtId="0" fontId="24" fillId="3" borderId="3" xfId="0" applyFont="1" applyFill="1" applyBorder="1" applyAlignment="1">
      <alignment horizontal="left" vertical="center" readingOrder="1"/>
    </xf>
    <xf numFmtId="14" fontId="24" fillId="3" borderId="2" xfId="0" applyNumberFormat="1" applyFont="1" applyFill="1" applyBorder="1" applyAlignment="1">
      <alignment horizontal="left" vertical="center" readingOrder="1"/>
    </xf>
    <xf numFmtId="14" fontId="24" fillId="6" borderId="2" xfId="0" applyNumberFormat="1" applyFont="1" applyFill="1" applyBorder="1" applyAlignment="1">
      <alignment horizontal="left" vertical="center" readingOrder="1"/>
    </xf>
    <xf numFmtId="0" fontId="24" fillId="7" borderId="2" xfId="0" applyFont="1" applyFill="1" applyBorder="1" applyAlignment="1">
      <alignment horizontal="left" vertical="center" readingOrder="1"/>
    </xf>
    <xf numFmtId="0" fontId="27" fillId="7" borderId="2" xfId="0" applyFont="1" applyFill="1" applyBorder="1" applyAlignment="1">
      <alignment horizontal="left" vertical="top" wrapText="1" readingOrder="1"/>
    </xf>
    <xf numFmtId="14" fontId="27" fillId="6" borderId="1" xfId="0" applyNumberFormat="1" applyFont="1" applyFill="1" applyBorder="1" applyAlignment="1">
      <alignment horizontal="left" vertical="top" wrapText="1" readingOrder="1"/>
    </xf>
    <xf numFmtId="9" fontId="24" fillId="3" borderId="2" xfId="1" applyFont="1" applyFill="1" applyBorder="1" applyAlignment="1">
      <alignment horizontal="left" vertical="center" readingOrder="1"/>
    </xf>
    <xf numFmtId="9" fontId="24" fillId="6" borderId="1" xfId="1" applyFont="1" applyFill="1" applyBorder="1" applyAlignment="1">
      <alignment horizontal="left" vertical="top" wrapText="1" readingOrder="1"/>
    </xf>
    <xf numFmtId="0" fontId="32" fillId="0" borderId="0" xfId="0" applyFont="1"/>
    <xf numFmtId="0" fontId="30" fillId="0" borderId="0" xfId="0" applyFont="1"/>
    <xf numFmtId="0" fontId="35" fillId="0" borderId="0" xfId="0" applyFont="1" applyAlignment="1"/>
    <xf numFmtId="0" fontId="35" fillId="0" borderId="0" xfId="0" applyFont="1" applyFill="1" applyAlignment="1"/>
    <xf numFmtId="166" fontId="20" fillId="13" borderId="0" xfId="8" applyFill="1"/>
    <xf numFmtId="166" fontId="20" fillId="13" borderId="0" xfId="8" applyFill="1" applyAlignment="1">
      <alignment horizontal="center" vertical="center"/>
    </xf>
    <xf numFmtId="166" fontId="20" fillId="20" borderId="8" xfId="8" applyFill="1" applyBorder="1"/>
    <xf numFmtId="166" fontId="20" fillId="20" borderId="0" xfId="8" applyFill="1" applyBorder="1"/>
    <xf numFmtId="166" fontId="20" fillId="20" borderId="9" xfId="8" applyFill="1" applyBorder="1"/>
    <xf numFmtId="166" fontId="29" fillId="20" borderId="0" xfId="8" applyFont="1" applyFill="1" applyBorder="1"/>
    <xf numFmtId="166" fontId="20" fillId="20" borderId="10" xfId="8" applyFill="1" applyBorder="1"/>
    <xf numFmtId="166" fontId="20" fillId="20" borderId="11" xfId="8" applyFill="1" applyBorder="1"/>
    <xf numFmtId="166" fontId="20" fillId="20" borderId="12" xfId="8" applyFill="1" applyBorder="1"/>
    <xf numFmtId="0" fontId="24" fillId="0" borderId="0" xfId="0" applyFont="1" applyFill="1" applyBorder="1" applyAlignment="1">
      <alignment horizontal="left" vertical="center" readingOrder="1"/>
    </xf>
    <xf numFmtId="9" fontId="35" fillId="0" borderId="0" xfId="0" applyNumberFormat="1" applyFont="1" applyFill="1" applyAlignment="1"/>
    <xf numFmtId="9" fontId="35" fillId="0" borderId="0" xfId="1" applyFont="1" applyFill="1" applyAlignment="1"/>
    <xf numFmtId="1" fontId="35" fillId="0" borderId="0" xfId="0" applyNumberFormat="1" applyFont="1" applyFill="1" applyAlignment="1"/>
    <xf numFmtId="14" fontId="35" fillId="0" borderId="0" xfId="0" applyNumberFormat="1" applyFont="1" applyFill="1" applyAlignment="1"/>
    <xf numFmtId="1" fontId="35" fillId="0" borderId="0" xfId="1" applyNumberFormat="1" applyFont="1" applyFill="1" applyAlignment="1"/>
    <xf numFmtId="0" fontId="35" fillId="0" borderId="0" xfId="1" applyNumberFormat="1" applyFont="1" applyFill="1" applyAlignment="1"/>
    <xf numFmtId="0" fontId="35" fillId="0" borderId="0" xfId="0" applyNumberFormat="1" applyFont="1" applyFill="1" applyAlignment="1"/>
    <xf numFmtId="1" fontId="35" fillId="0" borderId="0" xfId="0" applyNumberFormat="1" applyFont="1" applyFill="1" applyAlignment="1">
      <alignment horizontal="left"/>
    </xf>
    <xf numFmtId="0" fontId="24" fillId="3" borderId="0" xfId="0" applyFont="1" applyFill="1" applyBorder="1" applyAlignment="1">
      <alignment horizontal="left" vertical="center" readingOrder="1"/>
    </xf>
    <xf numFmtId="0" fontId="24" fillId="0" borderId="1" xfId="0" applyFont="1" applyFill="1" applyBorder="1" applyAlignment="1">
      <alignment horizontal="left" vertical="center" readingOrder="1"/>
    </xf>
    <xf numFmtId="14" fontId="24" fillId="3" borderId="18" xfId="0" applyNumberFormat="1" applyFont="1" applyFill="1" applyBorder="1" applyAlignment="1">
      <alignment horizontal="left" vertical="center" readingOrder="1"/>
    </xf>
    <xf numFmtId="0" fontId="32" fillId="0" borderId="0" xfId="0" applyNumberFormat="1" applyFont="1"/>
    <xf numFmtId="1" fontId="32" fillId="0" borderId="0" xfId="0" applyNumberFormat="1" applyFont="1"/>
    <xf numFmtId="0" fontId="32" fillId="0" borderId="0" xfId="0" applyFont="1" applyAlignment="1">
      <alignment wrapText="1" readingOrder="1"/>
    </xf>
    <xf numFmtId="0" fontId="24" fillId="7" borderId="0" xfId="0" applyFont="1" applyFill="1" applyBorder="1" applyAlignment="1">
      <alignment horizontal="left" vertical="center" readingOrder="1"/>
    </xf>
    <xf numFmtId="0" fontId="23" fillId="9" borderId="15" xfId="0" applyFont="1" applyFill="1" applyBorder="1" applyAlignment="1">
      <alignment horizontal="left" vertical="center" readingOrder="1"/>
    </xf>
    <xf numFmtId="0" fontId="24" fillId="7" borderId="15" xfId="0" applyFont="1" applyFill="1" applyBorder="1" applyAlignment="1">
      <alignment horizontal="left" vertical="center" readingOrder="1"/>
    </xf>
    <xf numFmtId="0" fontId="49" fillId="2" borderId="1" xfId="0" applyFont="1" applyFill="1" applyBorder="1" applyAlignment="1">
      <alignment horizontal="left" vertical="center" readingOrder="1"/>
    </xf>
    <xf numFmtId="14" fontId="50" fillId="6" borderId="2" xfId="0" applyNumberFormat="1" applyFont="1" applyFill="1" applyBorder="1" applyAlignment="1">
      <alignment horizontal="left" vertical="center" readingOrder="1"/>
    </xf>
    <xf numFmtId="14" fontId="49" fillId="6" borderId="1" xfId="0" applyNumberFormat="1" applyFont="1" applyFill="1" applyBorder="1" applyAlignment="1">
      <alignment horizontal="left" vertical="top" wrapText="1" readingOrder="1"/>
    </xf>
    <xf numFmtId="0" fontId="50" fillId="3" borderId="2" xfId="0" applyFont="1" applyFill="1" applyBorder="1" applyAlignment="1">
      <alignment horizontal="left" vertical="center" readingOrder="1"/>
    </xf>
    <xf numFmtId="0" fontId="50" fillId="7" borderId="2" xfId="0" applyFont="1" applyFill="1" applyBorder="1" applyAlignment="1">
      <alignment horizontal="left" vertical="center" readingOrder="1"/>
    </xf>
    <xf numFmtId="0" fontId="50" fillId="7" borderId="2" xfId="0" applyFont="1" applyFill="1" applyBorder="1" applyAlignment="1">
      <alignment horizontal="left" vertical="top" wrapText="1" readingOrder="1"/>
    </xf>
    <xf numFmtId="0" fontId="24" fillId="3" borderId="16" xfId="0" applyFont="1" applyFill="1" applyBorder="1" applyAlignment="1">
      <alignment horizontal="left" vertical="center" readingOrder="1"/>
    </xf>
    <xf numFmtId="0" fontId="27" fillId="7" borderId="15" xfId="0" applyFont="1" applyFill="1" applyBorder="1" applyAlignment="1">
      <alignment horizontal="left" vertical="top" wrapText="1" readingOrder="1"/>
    </xf>
    <xf numFmtId="0" fontId="24" fillId="3" borderId="15" xfId="0" applyFont="1" applyFill="1" applyBorder="1" applyAlignment="1">
      <alignment horizontal="left" vertical="center" readingOrder="1"/>
    </xf>
    <xf numFmtId="0" fontId="66" fillId="0" borderId="0" xfId="0" applyFont="1"/>
    <xf numFmtId="0" fontId="66" fillId="0" borderId="0" xfId="0" applyFont="1" applyAlignment="1">
      <alignment wrapText="1"/>
    </xf>
    <xf numFmtId="164" fontId="66" fillId="0" borderId="0" xfId="0" applyNumberFormat="1" applyFont="1"/>
    <xf numFmtId="0" fontId="30" fillId="0" borderId="21" xfId="0" applyFont="1" applyFill="1" applyBorder="1"/>
    <xf numFmtId="0" fontId="30" fillId="0" borderId="26" xfId="0" applyFont="1" applyFill="1" applyBorder="1"/>
    <xf numFmtId="0" fontId="30" fillId="0" borderId="24" xfId="0" applyFont="1" applyFill="1" applyBorder="1"/>
    <xf numFmtId="0" fontId="30" fillId="0" borderId="0" xfId="0" applyFont="1" applyBorder="1"/>
    <xf numFmtId="0" fontId="50" fillId="0" borderId="0" xfId="0" applyFont="1"/>
    <xf numFmtId="0" fontId="50" fillId="0" borderId="0" xfId="0" applyFont="1" applyAlignment="1"/>
    <xf numFmtId="0" fontId="32" fillId="0" borderId="0" xfId="0" applyNumberFormat="1" applyFont="1" applyAlignment="1">
      <alignment wrapText="1"/>
    </xf>
    <xf numFmtId="0" fontId="32" fillId="0" borderId="0" xfId="0" applyFont="1" applyFill="1"/>
    <xf numFmtId="14" fontId="39" fillId="16" borderId="0" xfId="0" applyNumberFormat="1" applyFont="1" applyFill="1" applyBorder="1" applyAlignment="1">
      <alignment horizontal="left"/>
    </xf>
    <xf numFmtId="9" fontId="70" fillId="23" borderId="0" xfId="0" applyNumberFormat="1" applyFont="1" applyFill="1" applyBorder="1" applyAlignment="1">
      <alignment vertical="center"/>
    </xf>
    <xf numFmtId="0" fontId="32" fillId="0" borderId="0" xfId="0" applyFont="1" applyFill="1" applyBorder="1"/>
    <xf numFmtId="1" fontId="70" fillId="23" borderId="0" xfId="0" applyNumberFormat="1" applyFont="1" applyFill="1" applyBorder="1" applyAlignment="1">
      <alignment vertical="center"/>
    </xf>
    <xf numFmtId="0" fontId="67" fillId="0" borderId="30" xfId="0" applyFont="1" applyBorder="1" applyAlignment="1">
      <alignment horizontal="center" vertical="center"/>
    </xf>
    <xf numFmtId="0" fontId="74" fillId="13" borderId="32" xfId="0" applyFont="1" applyFill="1" applyBorder="1" applyAlignment="1">
      <alignment horizontal="center" vertical="center" wrapText="1"/>
    </xf>
    <xf numFmtId="0" fontId="72" fillId="8" borderId="23" xfId="0" applyFont="1" applyFill="1" applyBorder="1" applyAlignment="1">
      <alignment horizontal="center" vertical="center" wrapText="1"/>
    </xf>
    <xf numFmtId="0" fontId="72" fillId="36" borderId="23" xfId="0" applyFont="1" applyFill="1" applyBorder="1" applyAlignment="1">
      <alignment horizontal="center" vertical="center" wrapText="1"/>
    </xf>
    <xf numFmtId="0" fontId="0" fillId="0" borderId="23" xfId="0" applyBorder="1"/>
    <xf numFmtId="0" fontId="66" fillId="0" borderId="23" xfId="0" applyFont="1" applyBorder="1"/>
    <xf numFmtId="0" fontId="72" fillId="14" borderId="23" xfId="0" applyFont="1" applyFill="1" applyBorder="1" applyAlignment="1">
      <alignment horizontal="center" vertical="center" wrapText="1"/>
    </xf>
    <xf numFmtId="0" fontId="0" fillId="37" borderId="23" xfId="0" applyFill="1" applyBorder="1"/>
    <xf numFmtId="164" fontId="72" fillId="14" borderId="23" xfId="4" applyNumberFormat="1" applyFont="1" applyFill="1" applyBorder="1" applyAlignment="1">
      <alignment horizontal="right" vertical="center"/>
    </xf>
    <xf numFmtId="164" fontId="72" fillId="8" borderId="23" xfId="4" applyNumberFormat="1" applyFont="1" applyFill="1" applyBorder="1" applyAlignment="1">
      <alignment horizontal="right" vertical="center"/>
    </xf>
    <xf numFmtId="164" fontId="72" fillId="36" borderId="23" xfId="4" applyNumberFormat="1" applyFont="1" applyFill="1" applyBorder="1" applyAlignment="1">
      <alignment horizontal="right" vertical="center"/>
    </xf>
    <xf numFmtId="166" fontId="16" fillId="20" borderId="0" xfId="8" applyFont="1" applyFill="1" applyBorder="1"/>
    <xf numFmtId="0" fontId="66" fillId="0" borderId="0" xfId="0" applyFont="1" applyAlignment="1">
      <alignment horizontal="center" vertical="center" wrapText="1"/>
    </xf>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0" fillId="0" borderId="0" xfId="0" applyFill="1"/>
    <xf numFmtId="14" fontId="32" fillId="0" borderId="0" xfId="0" applyNumberFormat="1" applyFont="1"/>
    <xf numFmtId="165" fontId="32" fillId="0" borderId="0" xfId="0" applyNumberFormat="1" applyFont="1"/>
    <xf numFmtId="165" fontId="32" fillId="0" borderId="0" xfId="0" applyNumberFormat="1" applyFont="1" applyFill="1"/>
    <xf numFmtId="0" fontId="77" fillId="8" borderId="0" xfId="0" applyFont="1" applyFill="1"/>
    <xf numFmtId="0" fontId="77" fillId="38" borderId="0" xfId="0" applyFont="1" applyFill="1"/>
    <xf numFmtId="0" fontId="16" fillId="0" borderId="0" xfId="0" applyFont="1"/>
    <xf numFmtId="0" fontId="29" fillId="0" borderId="0" xfId="0" applyFont="1"/>
    <xf numFmtId="0" fontId="16" fillId="0" borderId="0" xfId="0" applyFont="1" applyAlignment="1">
      <alignment horizontal="left"/>
    </xf>
    <xf numFmtId="9" fontId="16" fillId="0" borderId="0" xfId="0" applyNumberFormat="1" applyFont="1"/>
    <xf numFmtId="0" fontId="16" fillId="0" borderId="0" xfId="0" applyNumberFormat="1" applyFont="1"/>
    <xf numFmtId="0" fontId="16" fillId="0" borderId="0" xfId="0" applyFont="1" applyAlignment="1">
      <alignment wrapText="1"/>
    </xf>
    <xf numFmtId="164" fontId="16" fillId="0" borderId="0" xfId="0" applyNumberFormat="1" applyFont="1"/>
    <xf numFmtId="0" fontId="79" fillId="0" borderId="0" xfId="0" applyFont="1"/>
    <xf numFmtId="0" fontId="78" fillId="14" borderId="0" xfId="0" applyFont="1" applyFill="1"/>
    <xf numFmtId="1" fontId="16" fillId="0" borderId="0" xfId="0" applyNumberFormat="1" applyFont="1"/>
    <xf numFmtId="0" fontId="29" fillId="0" borderId="30" xfId="0" applyFont="1" applyBorder="1" applyAlignment="1">
      <alignment wrapText="1"/>
    </xf>
    <xf numFmtId="0" fontId="80" fillId="0" borderId="33" xfId="0" applyFont="1" applyBorder="1" applyAlignment="1">
      <alignment horizontal="left"/>
    </xf>
    <xf numFmtId="0" fontId="80" fillId="0" borderId="35" xfId="0" applyFont="1" applyBorder="1" applyAlignment="1">
      <alignment horizontal="left"/>
    </xf>
    <xf numFmtId="0" fontId="29" fillId="0" borderId="31" xfId="0" applyFont="1" applyBorder="1"/>
    <xf numFmtId="0" fontId="29" fillId="0" borderId="32" xfId="0" applyFont="1" applyBorder="1"/>
    <xf numFmtId="0" fontId="80" fillId="0" borderId="29" xfId="0" applyNumberFormat="1" applyFont="1" applyBorder="1"/>
    <xf numFmtId="0" fontId="80" fillId="0" borderId="34" xfId="0" applyNumberFormat="1" applyFont="1" applyBorder="1"/>
    <xf numFmtId="0" fontId="80" fillId="0" borderId="36" xfId="0" applyNumberFormat="1" applyFont="1" applyBorder="1"/>
    <xf numFmtId="0" fontId="80" fillId="0" borderId="37" xfId="0" applyNumberFormat="1" applyFont="1" applyBorder="1"/>
    <xf numFmtId="0" fontId="16" fillId="0" borderId="0" xfId="0" applyFont="1" applyFill="1"/>
    <xf numFmtId="0" fontId="16" fillId="0" borderId="0" xfId="0" applyFont="1" applyFill="1" applyBorder="1" applyAlignment="1">
      <alignment horizontal="left"/>
    </xf>
    <xf numFmtId="0" fontId="16" fillId="0" borderId="0" xfId="0" applyNumberFormat="1" applyFont="1" applyFill="1" applyBorder="1"/>
    <xf numFmtId="9" fontId="16" fillId="0" borderId="0" xfId="0" applyNumberFormat="1" applyFont="1" applyFill="1"/>
    <xf numFmtId="0" fontId="16" fillId="0" borderId="0" xfId="0" applyNumberFormat="1" applyFont="1" applyFill="1"/>
    <xf numFmtId="0" fontId="16" fillId="19" borderId="0" xfId="0" applyFont="1" applyFill="1"/>
    <xf numFmtId="164" fontId="16" fillId="0" borderId="0" xfId="4" applyNumberFormat="1" applyFont="1"/>
    <xf numFmtId="0" fontId="16" fillId="34" borderId="0" xfId="0" applyFont="1" applyFill="1"/>
    <xf numFmtId="0" fontId="29" fillId="10" borderId="0" xfId="0" applyFont="1" applyFill="1"/>
    <xf numFmtId="0" fontId="80" fillId="0" borderId="41" xfId="0" applyFont="1" applyBorder="1" applyAlignment="1">
      <alignment horizontal="left"/>
    </xf>
    <xf numFmtId="0" fontId="77" fillId="8" borderId="0" xfId="0" applyFont="1" applyFill="1" applyAlignment="1">
      <alignment horizontal="left"/>
    </xf>
    <xf numFmtId="9" fontId="77" fillId="8" borderId="0" xfId="0" applyNumberFormat="1" applyFont="1" applyFill="1"/>
    <xf numFmtId="0" fontId="77" fillId="8" borderId="0" xfId="0" applyNumberFormat="1" applyFont="1" applyFill="1"/>
    <xf numFmtId="0" fontId="75" fillId="0" borderId="0" xfId="0" applyFont="1"/>
    <xf numFmtId="0" fontId="69" fillId="0" borderId="0" xfId="0" applyFont="1"/>
    <xf numFmtId="0" fontId="78" fillId="29" borderId="44" xfId="0" applyFont="1" applyFill="1" applyBorder="1"/>
    <xf numFmtId="164" fontId="29" fillId="0" borderId="45" xfId="4" applyNumberFormat="1" applyFont="1" applyBorder="1"/>
    <xf numFmtId="164" fontId="81" fillId="0" borderId="46" xfId="4" applyNumberFormat="1" applyFont="1" applyBorder="1" applyAlignment="1">
      <alignment horizontal="left" wrapText="1"/>
    </xf>
    <xf numFmtId="164" fontId="81" fillId="0" borderId="43" xfId="4" applyNumberFormat="1" applyFont="1" applyBorder="1" applyAlignment="1">
      <alignment horizontal="left" wrapText="1"/>
    </xf>
    <xf numFmtId="0" fontId="81" fillId="0" borderId="47" xfId="0" applyFont="1" applyBorder="1" applyAlignment="1">
      <alignment horizontal="left"/>
    </xf>
    <xf numFmtId="0" fontId="81" fillId="0" borderId="0" xfId="0" applyFont="1" applyBorder="1" applyAlignment="1">
      <alignment horizontal="left"/>
    </xf>
    <xf numFmtId="0" fontId="81" fillId="0" borderId="0" xfId="0" applyNumberFormat="1" applyFont="1" applyBorder="1"/>
    <xf numFmtId="0" fontId="16" fillId="0" borderId="50" xfId="0" applyFont="1" applyBorder="1" applyAlignment="1">
      <alignment horizontal="left"/>
    </xf>
    <xf numFmtId="0" fontId="16" fillId="0" borderId="50" xfId="0" applyNumberFormat="1" applyFont="1" applyBorder="1"/>
    <xf numFmtId="0" fontId="16" fillId="0" borderId="55" xfId="0" applyNumberFormat="1" applyFont="1" applyBorder="1"/>
    <xf numFmtId="0" fontId="82" fillId="39" borderId="51" xfId="0" applyFont="1" applyFill="1" applyBorder="1"/>
    <xf numFmtId="0" fontId="82" fillId="9" borderId="0" xfId="0" applyFont="1" applyFill="1"/>
    <xf numFmtId="0" fontId="78" fillId="32" borderId="0" xfId="0" applyFont="1" applyFill="1"/>
    <xf numFmtId="0" fontId="77" fillId="14" borderId="0" xfId="0" applyFont="1" applyFill="1"/>
    <xf numFmtId="0" fontId="77" fillId="9" borderId="0" xfId="0" applyFont="1" applyFill="1"/>
    <xf numFmtId="0" fontId="75" fillId="34" borderId="0" xfId="0" applyFont="1" applyFill="1"/>
    <xf numFmtId="0" fontId="77" fillId="32" borderId="0" xfId="0" applyFont="1" applyFill="1"/>
    <xf numFmtId="0" fontId="75" fillId="10" borderId="0" xfId="0" applyFont="1" applyFill="1"/>
    <xf numFmtId="0" fontId="83" fillId="0" borderId="0" xfId="0" applyFont="1"/>
    <xf numFmtId="0" fontId="39" fillId="21" borderId="0" xfId="1" applyNumberFormat="1" applyFont="1" applyFill="1" applyBorder="1" applyAlignment="1">
      <alignment horizontal="center"/>
    </xf>
    <xf numFmtId="0" fontId="39" fillId="21" borderId="0" xfId="0" applyNumberFormat="1" applyFont="1" applyFill="1" applyBorder="1" applyAlignment="1">
      <alignment horizontal="center"/>
    </xf>
    <xf numFmtId="0" fontId="66" fillId="0" borderId="0" xfId="0" applyFont="1" applyFill="1"/>
    <xf numFmtId="0" fontId="84" fillId="26" borderId="56" xfId="0" applyFont="1" applyFill="1" applyBorder="1"/>
    <xf numFmtId="0" fontId="77" fillId="41" borderId="0" xfId="0" applyFont="1" applyFill="1" applyAlignment="1">
      <alignment vertical="center"/>
    </xf>
    <xf numFmtId="1" fontId="85" fillId="0" borderId="0" xfId="0" applyNumberFormat="1" applyFont="1" applyFill="1"/>
    <xf numFmtId="0" fontId="85" fillId="0" borderId="0" xfId="0" applyFont="1" applyFill="1"/>
    <xf numFmtId="0" fontId="85" fillId="0" borderId="0" xfId="0" applyNumberFormat="1" applyFont="1" applyFill="1" applyAlignment="1">
      <alignment wrapText="1" readingOrder="1"/>
    </xf>
    <xf numFmtId="165" fontId="85" fillId="0" borderId="0" xfId="0" applyNumberFormat="1" applyFont="1" applyFill="1"/>
    <xf numFmtId="0" fontId="85" fillId="0" borderId="0" xfId="0" applyFont="1" applyFill="1" applyAlignment="1">
      <alignment wrapText="1" readingOrder="1"/>
    </xf>
    <xf numFmtId="0" fontId="85" fillId="0" borderId="0" xfId="0" applyNumberFormat="1" applyFont="1" applyFill="1" applyBorder="1"/>
    <xf numFmtId="0" fontId="85" fillId="0" borderId="24" xfId="0" applyNumberFormat="1" applyFont="1" applyFill="1" applyBorder="1"/>
    <xf numFmtId="1" fontId="85" fillId="0" borderId="25" xfId="0" applyNumberFormat="1" applyFont="1" applyFill="1" applyBorder="1"/>
    <xf numFmtId="0" fontId="89" fillId="0" borderId="0" xfId="0" applyFont="1"/>
    <xf numFmtId="0" fontId="92" fillId="0" borderId="0" xfId="0" applyFont="1"/>
    <xf numFmtId="1" fontId="93" fillId="0" borderId="0" xfId="0" applyNumberFormat="1" applyFont="1" applyFill="1"/>
    <xf numFmtId="0" fontId="93" fillId="0" borderId="0" xfId="0" applyFont="1" applyFill="1"/>
    <xf numFmtId="0" fontId="93" fillId="0" borderId="0" xfId="0" applyNumberFormat="1" applyFont="1" applyFill="1" applyAlignment="1">
      <alignment wrapText="1" readingOrder="1"/>
    </xf>
    <xf numFmtId="165" fontId="93" fillId="0" borderId="0" xfId="0" applyNumberFormat="1" applyFont="1" applyFill="1"/>
    <xf numFmtId="0" fontId="93" fillId="0" borderId="0" xfId="0" applyFont="1" applyFill="1" applyAlignment="1">
      <alignment wrapText="1" readingOrder="1"/>
    </xf>
    <xf numFmtId="0" fontId="93" fillId="0" borderId="0" xfId="0" applyNumberFormat="1" applyFont="1" applyFill="1" applyBorder="1"/>
    <xf numFmtId="1" fontId="93" fillId="0" borderId="0" xfId="0" applyNumberFormat="1" applyFont="1" applyFill="1" applyBorder="1"/>
    <xf numFmtId="49" fontId="91" fillId="0" borderId="0" xfId="21" applyNumberFormat="1" applyFont="1" applyFill="1" applyBorder="1" applyAlignment="1">
      <alignment horizontal="left" vertical="center" wrapText="1"/>
    </xf>
    <xf numFmtId="1" fontId="94" fillId="0" borderId="0" xfId="0" applyNumberFormat="1" applyFont="1" applyFill="1"/>
    <xf numFmtId="0" fontId="94" fillId="0" borderId="0" xfId="0" applyFont="1" applyFill="1"/>
    <xf numFmtId="0" fontId="94" fillId="0" borderId="0" xfId="0" applyNumberFormat="1" applyFont="1" applyFill="1" applyAlignment="1">
      <alignment wrapText="1" readingOrder="1"/>
    </xf>
    <xf numFmtId="165" fontId="94" fillId="0" borderId="0" xfId="0" applyNumberFormat="1" applyFont="1" applyFill="1"/>
    <xf numFmtId="0" fontId="94" fillId="0" borderId="0" xfId="0" applyFont="1" applyFill="1" applyAlignment="1">
      <alignment wrapText="1" readingOrder="1"/>
    </xf>
    <xf numFmtId="0" fontId="94" fillId="0" borderId="0" xfId="0" applyNumberFormat="1" applyFont="1" applyFill="1" applyBorder="1"/>
    <xf numFmtId="1" fontId="94" fillId="0" borderId="0" xfId="0" applyNumberFormat="1" applyFont="1" applyFill="1" applyBorder="1"/>
    <xf numFmtId="0" fontId="89" fillId="31" borderId="26" xfId="0" applyFont="1" applyFill="1" applyBorder="1"/>
    <xf numFmtId="0" fontId="17" fillId="0" borderId="0" xfId="19" applyFont="1" applyAlignment="1">
      <alignment horizontal="left" vertical="center"/>
    </xf>
    <xf numFmtId="0" fontId="30" fillId="0" borderId="0" xfId="22" applyFont="1" applyAlignment="1">
      <alignment horizontal="left" vertical="center"/>
    </xf>
    <xf numFmtId="0" fontId="17" fillId="0" borderId="0" xfId="19" applyAlignment="1">
      <alignment horizontal="left" vertical="center"/>
    </xf>
    <xf numFmtId="0" fontId="53" fillId="24" borderId="66" xfId="23" applyFont="1" applyBorder="1" applyAlignment="1">
      <alignment horizontal="center" vertical="center" wrapText="1"/>
    </xf>
    <xf numFmtId="0" fontId="54" fillId="25" borderId="66" xfId="24" applyFont="1" applyBorder="1" applyAlignment="1">
      <alignment horizontal="center" vertical="center" wrapText="1"/>
    </xf>
    <xf numFmtId="0" fontId="55" fillId="26" borderId="66" xfId="22" applyFont="1" applyFill="1" applyBorder="1" applyAlignment="1">
      <alignment horizontal="center" vertical="center"/>
    </xf>
    <xf numFmtId="0" fontId="51" fillId="24" borderId="66" xfId="23" applyBorder="1" applyAlignment="1">
      <alignment horizontal="left" vertical="center"/>
    </xf>
    <xf numFmtId="0" fontId="52" fillId="25" borderId="66" xfId="24" applyBorder="1" applyAlignment="1">
      <alignment horizontal="left" vertical="center"/>
    </xf>
    <xf numFmtId="0" fontId="30" fillId="43" borderId="66" xfId="22" applyFont="1" applyFill="1" applyBorder="1" applyAlignment="1">
      <alignment horizontal="left" vertical="center"/>
    </xf>
    <xf numFmtId="0" fontId="31" fillId="18" borderId="66" xfId="19" applyFont="1" applyFill="1" applyBorder="1" applyAlignment="1">
      <alignment horizontal="left" vertical="center" wrapText="1" readingOrder="1"/>
    </xf>
    <xf numFmtId="0" fontId="59" fillId="5" borderId="66" xfId="23" applyFont="1" applyFill="1" applyBorder="1" applyAlignment="1">
      <alignment horizontal="left" vertical="center"/>
    </xf>
    <xf numFmtId="0" fontId="59" fillId="5" borderId="66" xfId="24" applyFont="1" applyFill="1" applyBorder="1" applyAlignment="1">
      <alignment horizontal="left" vertical="center"/>
    </xf>
    <xf numFmtId="0" fontId="56" fillId="26" borderId="66" xfId="22" applyFont="1" applyFill="1" applyBorder="1" applyAlignment="1">
      <alignment horizontal="left" vertical="center" wrapText="1"/>
    </xf>
    <xf numFmtId="1" fontId="31" fillId="18" borderId="66" xfId="19" applyNumberFormat="1" applyFont="1" applyFill="1" applyBorder="1" applyAlignment="1">
      <alignment horizontal="left" vertical="center" wrapText="1" readingOrder="1"/>
    </xf>
    <xf numFmtId="0" fontId="51" fillId="24" borderId="69" xfId="23" applyBorder="1" applyAlignment="1">
      <alignment horizontal="left" vertical="center"/>
    </xf>
    <xf numFmtId="0" fontId="52" fillId="25" borderId="69" xfId="24" applyBorder="1" applyAlignment="1">
      <alignment horizontal="left" vertical="center"/>
    </xf>
    <xf numFmtId="9" fontId="31" fillId="18" borderId="66" xfId="19" applyNumberFormat="1" applyFont="1" applyFill="1" applyBorder="1" applyAlignment="1">
      <alignment horizontal="left" vertical="center" wrapText="1" readingOrder="1"/>
    </xf>
    <xf numFmtId="9" fontId="31" fillId="18" borderId="66" xfId="20" applyNumberFormat="1" applyFont="1" applyFill="1" applyBorder="1" applyAlignment="1">
      <alignment horizontal="left" vertical="center" wrapText="1" readingOrder="1"/>
    </xf>
    <xf numFmtId="0" fontId="61" fillId="8" borderId="66" xfId="23" applyFont="1" applyFill="1" applyBorder="1" applyAlignment="1">
      <alignment horizontal="left" vertical="center"/>
    </xf>
    <xf numFmtId="0" fontId="61" fillId="8" borderId="66" xfId="24" applyFont="1" applyFill="1" applyBorder="1" applyAlignment="1">
      <alignment horizontal="left" vertical="center"/>
    </xf>
    <xf numFmtId="0" fontId="57" fillId="26" borderId="66" xfId="22" applyFont="1" applyFill="1" applyBorder="1" applyAlignment="1">
      <alignment horizontal="left" vertical="center" wrapText="1"/>
    </xf>
    <xf numFmtId="1" fontId="31" fillId="7" borderId="66" xfId="19" applyNumberFormat="1" applyFont="1" applyFill="1" applyBorder="1" applyAlignment="1">
      <alignment horizontal="left" vertical="center" wrapText="1" readingOrder="1"/>
    </xf>
    <xf numFmtId="0" fontId="62" fillId="36" borderId="66" xfId="23" applyFont="1" applyFill="1" applyBorder="1" applyAlignment="1">
      <alignment horizontal="left" vertical="center"/>
    </xf>
    <xf numFmtId="0" fontId="62" fillId="36" borderId="66" xfId="24" applyFont="1" applyFill="1" applyBorder="1" applyAlignment="1">
      <alignment horizontal="left" vertical="center"/>
    </xf>
    <xf numFmtId="0" fontId="58" fillId="26" borderId="66" xfId="22" applyFont="1" applyFill="1" applyBorder="1" applyAlignment="1">
      <alignment horizontal="left" vertical="center" wrapText="1"/>
    </xf>
    <xf numFmtId="0" fontId="82" fillId="36" borderId="66" xfId="23" applyFont="1" applyFill="1" applyBorder="1" applyAlignment="1">
      <alignment horizontal="left" vertical="center" wrapText="1"/>
    </xf>
    <xf numFmtId="0" fontId="30" fillId="43" borderId="69" xfId="22" applyFont="1" applyFill="1" applyBorder="1" applyAlignment="1">
      <alignment horizontal="left" vertical="center"/>
    </xf>
    <xf numFmtId="0" fontId="19" fillId="0" borderId="0" xfId="22" applyAlignment="1">
      <alignment vertical="top" wrapText="1"/>
    </xf>
    <xf numFmtId="0" fontId="44" fillId="0" borderId="0" xfId="22" applyFont="1" applyAlignment="1">
      <alignment vertical="top" wrapText="1"/>
    </xf>
    <xf numFmtId="0" fontId="19" fillId="0" borderId="0" xfId="22" applyAlignment="1">
      <alignment wrapText="1"/>
    </xf>
    <xf numFmtId="0" fontId="25" fillId="12" borderId="4" xfId="22" applyFont="1" applyFill="1" applyBorder="1" applyAlignment="1">
      <alignment vertical="top" wrapText="1"/>
    </xf>
    <xf numFmtId="0" fontId="28" fillId="10" borderId="4" xfId="22" applyFont="1" applyFill="1" applyBorder="1" applyAlignment="1">
      <alignment horizontal="left" vertical="top" wrapText="1"/>
    </xf>
    <xf numFmtId="0" fontId="28" fillId="10" borderId="4" xfId="22" applyFont="1" applyFill="1" applyBorder="1" applyAlignment="1">
      <alignment horizontal="left" vertical="center" wrapText="1"/>
    </xf>
    <xf numFmtId="0" fontId="26" fillId="7" borderId="4" xfId="22" applyFont="1" applyFill="1" applyBorder="1" applyAlignment="1">
      <alignment vertical="top" wrapText="1"/>
    </xf>
    <xf numFmtId="0" fontId="26" fillId="11" borderId="4" xfId="22" applyFont="1" applyFill="1" applyBorder="1" applyAlignment="1">
      <alignment vertical="top" wrapText="1"/>
    </xf>
    <xf numFmtId="0" fontId="23" fillId="44" borderId="66" xfId="22" applyNumberFormat="1" applyFont="1" applyFill="1" applyBorder="1" applyAlignment="1">
      <alignment horizontal="center" vertical="center"/>
    </xf>
    <xf numFmtId="0" fontId="23" fillId="2" borderId="66" xfId="22" applyNumberFormat="1" applyFont="1" applyFill="1" applyBorder="1" applyAlignment="1">
      <alignment horizontal="center" vertical="center"/>
    </xf>
    <xf numFmtId="0" fontId="23" fillId="37" borderId="66" xfId="22" applyNumberFormat="1" applyFont="1" applyFill="1" applyBorder="1" applyAlignment="1">
      <alignment horizontal="center" vertical="center"/>
    </xf>
    <xf numFmtId="1" fontId="65" fillId="18" borderId="14" xfId="0" applyNumberFormat="1" applyFont="1" applyFill="1" applyBorder="1" applyAlignment="1">
      <alignment horizontal="left" vertical="top" wrapText="1" readingOrder="1"/>
    </xf>
    <xf numFmtId="0" fontId="65" fillId="27" borderId="66" xfId="22" applyNumberFormat="1" applyFont="1" applyFill="1" applyBorder="1" applyAlignment="1">
      <alignment horizontal="center" vertical="center" wrapText="1"/>
    </xf>
    <xf numFmtId="14" fontId="64" fillId="12" borderId="66" xfId="19" applyNumberFormat="1" applyFont="1" applyFill="1" applyBorder="1" applyAlignment="1">
      <alignment horizontal="center" vertical="center" wrapText="1"/>
    </xf>
    <xf numFmtId="14" fontId="64" fillId="22" borderId="66" xfId="19" applyNumberFormat="1" applyFont="1" applyFill="1" applyBorder="1" applyAlignment="1">
      <alignment horizontal="center" vertical="center" wrapText="1"/>
    </xf>
    <xf numFmtId="14" fontId="24" fillId="17" borderId="66" xfId="19" applyNumberFormat="1" applyFont="1" applyFill="1" applyBorder="1" applyAlignment="1">
      <alignment horizontal="center" vertical="center" wrapText="1" readingOrder="1"/>
    </xf>
    <xf numFmtId="0" fontId="39" fillId="14" borderId="0" xfId="0" applyFont="1" applyFill="1" applyBorder="1" applyAlignment="1"/>
    <xf numFmtId="1" fontId="39" fillId="8" borderId="0" xfId="0" applyNumberFormat="1" applyFont="1" applyFill="1" applyBorder="1" applyAlignment="1"/>
    <xf numFmtId="0" fontId="23" fillId="9" borderId="70" xfId="22" applyNumberFormat="1" applyFont="1" applyFill="1" applyBorder="1" applyAlignment="1">
      <alignment horizontal="center" vertical="center"/>
    </xf>
    <xf numFmtId="0" fontId="23" fillId="6" borderId="66" xfId="22" applyNumberFormat="1" applyFont="1" applyFill="1" applyBorder="1" applyAlignment="1">
      <alignment horizontal="center" vertical="center"/>
    </xf>
    <xf numFmtId="14" fontId="64" fillId="17" borderId="14" xfId="0" applyNumberFormat="1" applyFont="1" applyFill="1" applyBorder="1" applyAlignment="1">
      <alignment horizontal="left" vertical="top" wrapText="1" readingOrder="1"/>
    </xf>
    <xf numFmtId="0" fontId="65" fillId="18" borderId="14" xfId="0" applyFont="1" applyFill="1" applyBorder="1" applyAlignment="1">
      <alignment horizontal="left" vertical="top" wrapText="1" readingOrder="1"/>
    </xf>
    <xf numFmtId="0" fontId="65" fillId="22" borderId="19" xfId="0" applyNumberFormat="1" applyFont="1" applyFill="1" applyBorder="1" applyAlignment="1">
      <alignment horizontal="left" vertical="top" wrapText="1" readingOrder="1"/>
    </xf>
    <xf numFmtId="0" fontId="65" fillId="22" borderId="20" xfId="0" applyNumberFormat="1" applyFont="1" applyFill="1" applyBorder="1" applyAlignment="1">
      <alignment horizontal="left" vertical="top" wrapText="1" readingOrder="1"/>
    </xf>
    <xf numFmtId="0" fontId="65" fillId="22" borderId="2" xfId="0" applyNumberFormat="1" applyFont="1" applyFill="1" applyBorder="1" applyAlignment="1">
      <alignment horizontal="left" vertical="center" wrapText="1" readingOrder="1"/>
    </xf>
    <xf numFmtId="0" fontId="63" fillId="0" borderId="0" xfId="0" applyFont="1" applyAlignment="1">
      <alignment vertical="top" wrapText="1"/>
    </xf>
    <xf numFmtId="0" fontId="100" fillId="18" borderId="66" xfId="19" applyFont="1" applyFill="1" applyBorder="1" applyAlignment="1">
      <alignment horizontal="left" vertical="center" wrapText="1" readingOrder="1"/>
    </xf>
    <xf numFmtId="1" fontId="100" fillId="18" borderId="66" xfId="19" applyNumberFormat="1" applyFont="1" applyFill="1" applyBorder="1" applyAlignment="1">
      <alignment horizontal="left" vertical="center" wrapText="1" readingOrder="1"/>
    </xf>
    <xf numFmtId="0" fontId="101" fillId="18" borderId="66" xfId="19" applyFont="1" applyFill="1" applyBorder="1" applyAlignment="1">
      <alignment horizontal="left" vertical="center" wrapText="1" readingOrder="1"/>
    </xf>
    <xf numFmtId="0" fontId="100" fillId="18" borderId="66" xfId="19" applyFont="1" applyFill="1" applyBorder="1" applyAlignment="1">
      <alignment horizontal="left" vertical="center" wrapText="1"/>
    </xf>
    <xf numFmtId="1" fontId="101" fillId="18" borderId="66" xfId="19" applyNumberFormat="1" applyFont="1" applyFill="1" applyBorder="1" applyAlignment="1">
      <alignment horizontal="left" vertical="center" wrapText="1" readingOrder="1"/>
    </xf>
    <xf numFmtId="1" fontId="101" fillId="7" borderId="66" xfId="19" applyNumberFormat="1" applyFont="1" applyFill="1" applyBorder="1" applyAlignment="1">
      <alignment horizontal="left" vertical="center" wrapText="1" readingOrder="1"/>
    </xf>
    <xf numFmtId="0" fontId="100" fillId="28" borderId="66" xfId="19" applyFont="1" applyFill="1" applyBorder="1" applyAlignment="1">
      <alignment horizontal="left" vertical="center" wrapText="1"/>
    </xf>
    <xf numFmtId="14" fontId="101" fillId="7" borderId="66" xfId="19" applyNumberFormat="1" applyFont="1" applyFill="1" applyBorder="1" applyAlignment="1">
      <alignment horizontal="left" vertical="center" wrapText="1" readingOrder="1"/>
    </xf>
    <xf numFmtId="0" fontId="101" fillId="11" borderId="66" xfId="20" applyNumberFormat="1" applyFont="1" applyFill="1" applyBorder="1" applyAlignment="1">
      <alignment horizontal="left" vertical="center" wrapText="1" readingOrder="1"/>
    </xf>
    <xf numFmtId="1" fontId="101" fillId="11" borderId="66" xfId="19" applyNumberFormat="1" applyFont="1" applyFill="1" applyBorder="1" applyAlignment="1">
      <alignment horizontal="left" vertical="center" wrapText="1" readingOrder="1"/>
    </xf>
    <xf numFmtId="0" fontId="100" fillId="0" borderId="66" xfId="19" applyFont="1" applyFill="1" applyBorder="1" applyAlignment="1">
      <alignment horizontal="left" vertical="center" wrapText="1"/>
    </xf>
    <xf numFmtId="0" fontId="100" fillId="30" borderId="66" xfId="20" applyNumberFormat="1" applyFont="1" applyFill="1" applyBorder="1" applyAlignment="1">
      <alignment horizontal="left" vertical="center" wrapText="1" readingOrder="1"/>
    </xf>
    <xf numFmtId="14" fontId="101" fillId="17" borderId="66" xfId="19" applyNumberFormat="1" applyFont="1" applyFill="1" applyBorder="1" applyAlignment="1">
      <alignment horizontal="left" vertical="center" wrapText="1" readingOrder="1"/>
    </xf>
    <xf numFmtId="0" fontId="103" fillId="16" borderId="66" xfId="19" applyFont="1" applyFill="1" applyBorder="1" applyAlignment="1">
      <alignment horizontal="center" vertical="center" wrapText="1"/>
    </xf>
    <xf numFmtId="0" fontId="106" fillId="22" borderId="13" xfId="0" applyNumberFormat="1" applyFont="1" applyFill="1" applyBorder="1" applyAlignment="1">
      <alignment horizontal="left" vertical="center" wrapText="1" readingOrder="1"/>
    </xf>
    <xf numFmtId="0" fontId="106" fillId="22" borderId="2" xfId="0" applyNumberFormat="1" applyFont="1" applyFill="1" applyBorder="1" applyAlignment="1">
      <alignment horizontal="left" vertical="center" wrapText="1" readingOrder="1"/>
    </xf>
    <xf numFmtId="0" fontId="104" fillId="0" borderId="0" xfId="0" applyFont="1" applyAlignment="1"/>
    <xf numFmtId="0" fontId="52" fillId="25" borderId="67" xfId="24" applyBorder="1" applyAlignment="1">
      <alignment horizontal="left" vertical="center"/>
    </xf>
    <xf numFmtId="0" fontId="30" fillId="43" borderId="67" xfId="22" applyFont="1" applyFill="1" applyBorder="1" applyAlignment="1">
      <alignment horizontal="left" vertical="center"/>
    </xf>
    <xf numFmtId="0" fontId="59" fillId="5" borderId="0" xfId="23" applyFont="1" applyFill="1" applyBorder="1" applyAlignment="1">
      <alignment horizontal="left" vertical="center"/>
    </xf>
    <xf numFmtId="0" fontId="59" fillId="5" borderId="0" xfId="24" applyFont="1" applyFill="1" applyBorder="1" applyAlignment="1">
      <alignment horizontal="left" vertical="center"/>
    </xf>
    <xf numFmtId="0" fontId="56" fillId="26" borderId="0" xfId="22" applyFont="1" applyFill="1" applyBorder="1" applyAlignment="1">
      <alignment horizontal="left" vertical="center" wrapText="1"/>
    </xf>
    <xf numFmtId="14" fontId="31" fillId="18" borderId="66" xfId="19" applyNumberFormat="1" applyFont="1" applyFill="1" applyBorder="1" applyAlignment="1">
      <alignment horizontal="left" vertical="center" wrapText="1" readingOrder="1"/>
    </xf>
    <xf numFmtId="0" fontId="31" fillId="10" borderId="66" xfId="19" applyFont="1" applyFill="1" applyBorder="1" applyAlignment="1">
      <alignment horizontal="left" vertical="center" wrapText="1"/>
    </xf>
    <xf numFmtId="14" fontId="100" fillId="18" borderId="66" xfId="19" applyNumberFormat="1" applyFont="1" applyFill="1" applyBorder="1" applyAlignment="1">
      <alignment horizontal="left" vertical="center" wrapText="1" readingOrder="1"/>
    </xf>
    <xf numFmtId="9" fontId="31" fillId="11" borderId="66" xfId="19" applyNumberFormat="1" applyFont="1" applyFill="1" applyBorder="1" applyAlignment="1">
      <alignment horizontal="left" vertical="center" wrapText="1" readingOrder="1"/>
    </xf>
    <xf numFmtId="0" fontId="51" fillId="24" borderId="68" xfId="23" applyBorder="1" applyAlignment="1">
      <alignment horizontal="left" vertical="center"/>
    </xf>
    <xf numFmtId="0" fontId="51" fillId="24" borderId="72" xfId="23" applyBorder="1" applyAlignment="1">
      <alignment horizontal="left" vertical="center"/>
    </xf>
    <xf numFmtId="1" fontId="31" fillId="18" borderId="66" xfId="20" applyNumberFormat="1" applyFont="1" applyFill="1" applyBorder="1" applyAlignment="1">
      <alignment horizontal="left" vertical="center" wrapText="1" readingOrder="1"/>
    </xf>
    <xf numFmtId="0" fontId="23" fillId="2" borderId="66" xfId="22" applyNumberFormat="1" applyFont="1" applyFill="1" applyBorder="1" applyAlignment="1">
      <alignment horizontal="center" vertical="center" wrapText="1"/>
    </xf>
    <xf numFmtId="0" fontId="23" fillId="6" borderId="66" xfId="22" applyNumberFormat="1" applyFont="1" applyFill="1" applyBorder="1" applyAlignment="1">
      <alignment horizontal="center" vertical="center" wrapText="1"/>
    </xf>
    <xf numFmtId="0" fontId="23" fillId="37" borderId="66" xfId="22" applyNumberFormat="1" applyFont="1" applyFill="1" applyBorder="1" applyAlignment="1">
      <alignment horizontal="center" vertical="center" wrapText="1"/>
    </xf>
    <xf numFmtId="0" fontId="23" fillId="44" borderId="66" xfId="22" applyNumberFormat="1" applyFont="1" applyFill="1" applyBorder="1" applyAlignment="1">
      <alignment horizontal="center" vertical="center" wrapText="1"/>
    </xf>
    <xf numFmtId="0" fontId="33" fillId="22" borderId="13" xfId="0" applyNumberFormat="1" applyFont="1" applyFill="1" applyBorder="1" applyAlignment="1">
      <alignment horizontal="left" vertical="center" wrapText="1" readingOrder="1"/>
    </xf>
    <xf numFmtId="0" fontId="33" fillId="22" borderId="2" xfId="0" applyNumberFormat="1" applyFont="1" applyFill="1" applyBorder="1" applyAlignment="1">
      <alignment horizontal="left" vertical="center" wrapText="1" readingOrder="1"/>
    </xf>
    <xf numFmtId="0" fontId="35" fillId="0" borderId="0" xfId="0" applyFont="1" applyAlignment="1">
      <alignment wrapText="1"/>
    </xf>
    <xf numFmtId="0" fontId="108" fillId="0" borderId="0" xfId="19" applyFont="1" applyAlignment="1">
      <alignment horizontal="left" vertical="center"/>
    </xf>
    <xf numFmtId="0" fontId="31" fillId="0" borderId="0" xfId="22" applyFont="1" applyAlignment="1">
      <alignment horizontal="left" vertical="center"/>
    </xf>
    <xf numFmtId="0" fontId="33" fillId="16" borderId="66" xfId="22" applyFont="1" applyFill="1" applyBorder="1" applyAlignment="1">
      <alignment horizontal="center" vertical="center" wrapText="1"/>
    </xf>
    <xf numFmtId="0" fontId="33" fillId="16" borderId="66" xfId="19" applyFont="1" applyFill="1" applyBorder="1" applyAlignment="1">
      <alignment horizontal="center" vertical="center" wrapText="1"/>
    </xf>
    <xf numFmtId="0" fontId="108" fillId="0" borderId="0" xfId="19" applyFont="1" applyAlignment="1">
      <alignment horizontal="center" vertical="center"/>
    </xf>
    <xf numFmtId="0" fontId="33" fillId="2" borderId="66" xfId="22" applyNumberFormat="1" applyFont="1" applyFill="1" applyBorder="1" applyAlignment="1">
      <alignment horizontal="left" vertical="center" indent="1" readingOrder="1"/>
    </xf>
    <xf numFmtId="14" fontId="31" fillId="17" borderId="66" xfId="19" applyNumberFormat="1" applyFont="1" applyFill="1" applyBorder="1" applyAlignment="1">
      <alignment horizontal="left" vertical="center" wrapText="1" readingOrder="1"/>
    </xf>
    <xf numFmtId="0" fontId="33" fillId="14" borderId="66" xfId="22" applyNumberFormat="1" applyFont="1" applyFill="1" applyBorder="1" applyAlignment="1">
      <alignment horizontal="left" vertical="center" indent="1" readingOrder="1"/>
    </xf>
    <xf numFmtId="1" fontId="31" fillId="18" borderId="69" xfId="20" applyNumberFormat="1" applyFont="1" applyFill="1" applyBorder="1" applyAlignment="1">
      <alignment horizontal="left" vertical="center" wrapText="1" readingOrder="1"/>
    </xf>
    <xf numFmtId="0" fontId="31" fillId="18" borderId="69" xfId="19" applyFont="1" applyFill="1" applyBorder="1" applyAlignment="1">
      <alignment horizontal="left" vertical="center" wrapText="1" readingOrder="1"/>
    </xf>
    <xf numFmtId="1" fontId="31" fillId="18" borderId="69" xfId="19" applyNumberFormat="1" applyFont="1" applyFill="1" applyBorder="1" applyAlignment="1">
      <alignment horizontal="left" vertical="center" wrapText="1" readingOrder="1"/>
    </xf>
    <xf numFmtId="0" fontId="33" fillId="38" borderId="66" xfId="22" applyNumberFormat="1" applyFont="1" applyFill="1" applyBorder="1" applyAlignment="1">
      <alignment horizontal="left" vertical="center" indent="1" readingOrder="1"/>
    </xf>
    <xf numFmtId="0" fontId="31" fillId="28" borderId="66" xfId="19" applyFont="1" applyFill="1" applyBorder="1" applyAlignment="1">
      <alignment horizontal="left" vertical="center" wrapText="1"/>
    </xf>
    <xf numFmtId="1" fontId="31" fillId="7" borderId="66" xfId="20" applyNumberFormat="1" applyFont="1" applyFill="1" applyBorder="1" applyAlignment="1">
      <alignment horizontal="left" vertical="center" wrapText="1" readingOrder="1"/>
    </xf>
    <xf numFmtId="14" fontId="31" fillId="7" borderId="66" xfId="19" applyNumberFormat="1" applyFont="1" applyFill="1" applyBorder="1" applyAlignment="1">
      <alignment horizontal="left" vertical="center" wrapText="1" readingOrder="1"/>
    </xf>
    <xf numFmtId="0" fontId="31" fillId="7" borderId="66" xfId="19" applyFont="1" applyFill="1" applyBorder="1" applyAlignment="1">
      <alignment horizontal="left" vertical="center" wrapText="1" readingOrder="1"/>
    </xf>
    <xf numFmtId="0" fontId="33" fillId="9" borderId="66" xfId="22" applyNumberFormat="1" applyFont="1" applyFill="1" applyBorder="1" applyAlignment="1">
      <alignment horizontal="left" vertical="center" indent="1" readingOrder="1"/>
    </xf>
    <xf numFmtId="0" fontId="31" fillId="11" borderId="66" xfId="20" applyNumberFormat="1" applyFont="1" applyFill="1" applyBorder="1" applyAlignment="1">
      <alignment horizontal="left" vertical="center" wrapText="1" readingOrder="1"/>
    </xf>
    <xf numFmtId="1" fontId="31" fillId="11" borderId="66" xfId="19" applyNumberFormat="1" applyFont="1" applyFill="1" applyBorder="1" applyAlignment="1">
      <alignment horizontal="left" vertical="center" wrapText="1" readingOrder="1"/>
    </xf>
    <xf numFmtId="0" fontId="31" fillId="30" borderId="66" xfId="19" applyFont="1" applyFill="1" applyBorder="1" applyAlignment="1">
      <alignment horizontal="left" vertical="center" wrapText="1"/>
    </xf>
    <xf numFmtId="9" fontId="31" fillId="11" borderId="69" xfId="19" applyNumberFormat="1" applyFont="1" applyFill="1" applyBorder="1" applyAlignment="1">
      <alignment horizontal="left" vertical="center" wrapText="1" readingOrder="1"/>
    </xf>
    <xf numFmtId="0" fontId="31" fillId="30" borderId="69" xfId="19" applyFont="1" applyFill="1" applyBorder="1" applyAlignment="1">
      <alignment horizontal="left" vertical="center" wrapText="1"/>
    </xf>
    <xf numFmtId="0" fontId="31" fillId="0" borderId="0" xfId="19" applyFont="1" applyAlignment="1">
      <alignment horizontal="left" vertical="center"/>
    </xf>
    <xf numFmtId="0" fontId="110" fillId="0" borderId="0" xfId="19" applyFont="1" applyAlignment="1">
      <alignment horizontal="left" vertical="center"/>
    </xf>
    <xf numFmtId="0" fontId="110" fillId="0" borderId="0" xfId="19" applyFont="1" applyAlignment="1">
      <alignment horizontal="center" vertical="center"/>
    </xf>
    <xf numFmtId="0" fontId="33" fillId="14" borderId="68" xfId="22" applyNumberFormat="1" applyFont="1" applyFill="1" applyBorder="1" applyAlignment="1">
      <alignment horizontal="left" vertical="center" indent="1" readingOrder="1"/>
    </xf>
    <xf numFmtId="0" fontId="110" fillId="0" borderId="0" xfId="19" applyFont="1" applyBorder="1" applyAlignment="1">
      <alignment horizontal="left" vertical="center"/>
    </xf>
    <xf numFmtId="0" fontId="102" fillId="0" borderId="0" xfId="19" applyFont="1" applyAlignment="1">
      <alignment horizontal="left" vertical="center"/>
    </xf>
    <xf numFmtId="0" fontId="100" fillId="0" borderId="0" xfId="19" applyFont="1" applyAlignment="1">
      <alignment horizontal="left" vertical="center"/>
    </xf>
    <xf numFmtId="0" fontId="101" fillId="0" borderId="0" xfId="19" applyFont="1" applyAlignment="1">
      <alignment horizontal="left" vertical="center"/>
    </xf>
    <xf numFmtId="14" fontId="24" fillId="17" borderId="66" xfId="19" applyNumberFormat="1" applyFont="1" applyFill="1" applyBorder="1" applyAlignment="1">
      <alignment horizontal="center" vertical="center" wrapText="1"/>
    </xf>
    <xf numFmtId="14" fontId="24" fillId="7" borderId="66" xfId="19" applyNumberFormat="1" applyFont="1" applyFill="1" applyBorder="1" applyAlignment="1">
      <alignment horizontal="center" vertical="center" wrapText="1"/>
    </xf>
    <xf numFmtId="14" fontId="24" fillId="27" borderId="66" xfId="19" applyNumberFormat="1" applyFont="1" applyFill="1" applyBorder="1" applyAlignment="1">
      <alignment horizontal="center" vertical="center" wrapText="1"/>
    </xf>
    <xf numFmtId="14" fontId="24" fillId="22" borderId="66" xfId="19" applyNumberFormat="1" applyFont="1" applyFill="1" applyBorder="1" applyAlignment="1">
      <alignment horizontal="center" vertical="center" wrapText="1"/>
    </xf>
    <xf numFmtId="14" fontId="111" fillId="17" borderId="66" xfId="19" applyNumberFormat="1" applyFont="1" applyFill="1" applyBorder="1" applyAlignment="1">
      <alignment horizontal="center" vertical="center" wrapText="1"/>
    </xf>
    <xf numFmtId="14" fontId="111" fillId="7" borderId="66" xfId="19" applyNumberFormat="1" applyFont="1" applyFill="1" applyBorder="1" applyAlignment="1">
      <alignment horizontal="center" vertical="center" wrapText="1"/>
    </xf>
    <xf numFmtId="14" fontId="111" fillId="27" borderId="66" xfId="19" applyNumberFormat="1" applyFont="1" applyFill="1" applyBorder="1" applyAlignment="1">
      <alignment horizontal="center" vertical="center" wrapText="1"/>
    </xf>
    <xf numFmtId="14" fontId="111" fillId="22" borderId="66" xfId="19" applyNumberFormat="1" applyFont="1" applyFill="1" applyBorder="1" applyAlignment="1">
      <alignment horizontal="center" vertical="center" wrapText="1"/>
    </xf>
    <xf numFmtId="0" fontId="112" fillId="5" borderId="73" xfId="0" applyFont="1" applyFill="1" applyBorder="1" applyAlignment="1">
      <alignment horizontal="center" vertical="center" wrapText="1"/>
    </xf>
    <xf numFmtId="0" fontId="98" fillId="18" borderId="77" xfId="0" applyFont="1" applyFill="1" applyBorder="1" applyAlignment="1">
      <alignment vertical="top" wrapText="1"/>
    </xf>
    <xf numFmtId="0" fontId="98" fillId="18" borderId="78" xfId="0" applyFont="1" applyFill="1" applyBorder="1" applyAlignment="1">
      <alignment vertical="top" wrapText="1"/>
    </xf>
    <xf numFmtId="1" fontId="98" fillId="18" borderId="79" xfId="0" applyNumberFormat="1" applyFont="1" applyFill="1" applyBorder="1" applyAlignment="1">
      <alignment vertical="top" wrapText="1"/>
    </xf>
    <xf numFmtId="0" fontId="112" fillId="5" borderId="80" xfId="0" applyFont="1" applyFill="1" applyBorder="1" applyAlignment="1">
      <alignment horizontal="center" vertical="center" wrapText="1"/>
    </xf>
    <xf numFmtId="9" fontId="98" fillId="18" borderId="73" xfId="0" applyNumberFormat="1" applyFont="1" applyFill="1" applyBorder="1" applyAlignment="1">
      <alignment vertical="top" wrapText="1"/>
    </xf>
    <xf numFmtId="0" fontId="34" fillId="5" borderId="80" xfId="0" applyFont="1" applyFill="1" applyBorder="1" applyAlignment="1">
      <alignment vertical="center" wrapText="1"/>
    </xf>
    <xf numFmtId="1" fontId="98" fillId="18" borderId="80" xfId="0" applyNumberFormat="1" applyFont="1" applyFill="1" applyBorder="1" applyAlignment="1">
      <alignment vertical="top" wrapText="1"/>
    </xf>
    <xf numFmtId="1" fontId="98" fillId="6" borderId="80" xfId="0" applyNumberFormat="1" applyFont="1" applyFill="1" applyBorder="1" applyAlignment="1">
      <alignment vertical="top" wrapText="1"/>
    </xf>
    <xf numFmtId="0" fontId="34" fillId="8" borderId="74" xfId="0" applyFont="1" applyFill="1" applyBorder="1" applyAlignment="1">
      <alignment vertical="center" wrapText="1"/>
    </xf>
    <xf numFmtId="0" fontId="98" fillId="6" borderId="74" xfId="0" applyFont="1" applyFill="1" applyBorder="1" applyAlignment="1">
      <alignment vertical="top" wrapText="1"/>
    </xf>
    <xf numFmtId="1" fontId="98" fillId="6" borderId="77" xfId="0" applyNumberFormat="1" applyFont="1" applyFill="1" applyBorder="1" applyAlignment="1">
      <alignment vertical="top" wrapText="1"/>
    </xf>
    <xf numFmtId="0" fontId="98" fillId="6" borderId="79" xfId="0" applyFont="1" applyFill="1" applyBorder="1" applyAlignment="1">
      <alignment vertical="top" wrapText="1"/>
    </xf>
    <xf numFmtId="1" fontId="105" fillId="9" borderId="73" xfId="0" applyNumberFormat="1" applyFont="1" applyFill="1" applyBorder="1" applyAlignment="1">
      <alignment vertical="top" wrapText="1"/>
    </xf>
    <xf numFmtId="1" fontId="113" fillId="9" borderId="73" xfId="0" applyNumberFormat="1" applyFont="1" applyFill="1" applyBorder="1" applyAlignment="1">
      <alignment horizontal="center" vertical="center"/>
    </xf>
    <xf numFmtId="1" fontId="40" fillId="9" borderId="73" xfId="1" applyNumberFormat="1" applyFont="1" applyFill="1" applyBorder="1" applyAlignment="1">
      <alignment vertical="center" wrapText="1"/>
    </xf>
    <xf numFmtId="1" fontId="42" fillId="9" borderId="73" xfId="0" applyNumberFormat="1" applyFont="1" applyFill="1" applyBorder="1" applyAlignment="1">
      <alignment horizontal="center" vertical="center" wrapText="1"/>
    </xf>
    <xf numFmtId="1" fontId="98" fillId="9" borderId="73" xfId="0" applyNumberFormat="1" applyFont="1" applyFill="1" applyBorder="1" applyAlignment="1">
      <alignment vertical="top" wrapText="1"/>
    </xf>
    <xf numFmtId="1" fontId="98" fillId="19" borderId="73" xfId="0" applyNumberFormat="1" applyFont="1" applyFill="1" applyBorder="1" applyAlignment="1">
      <alignment vertical="top" wrapText="1"/>
    </xf>
    <xf numFmtId="1" fontId="114" fillId="9" borderId="73" xfId="0" applyNumberFormat="1" applyFont="1" applyFill="1" applyBorder="1" applyAlignment="1">
      <alignment horizontal="center" vertical="center"/>
    </xf>
    <xf numFmtId="9" fontId="105" fillId="9" borderId="80" xfId="1" applyNumberFormat="1" applyFont="1" applyFill="1" applyBorder="1" applyAlignment="1">
      <alignment vertical="top" wrapText="1"/>
    </xf>
    <xf numFmtId="1" fontId="42" fillId="9" borderId="80" xfId="0" applyNumberFormat="1" applyFont="1" applyFill="1" applyBorder="1" applyAlignment="1">
      <alignment horizontal="center" vertical="center" wrapText="1"/>
    </xf>
    <xf numFmtId="1" fontId="98" fillId="19" borderId="80" xfId="0" applyNumberFormat="1" applyFont="1" applyFill="1" applyBorder="1" applyAlignment="1">
      <alignment vertical="top" wrapText="1"/>
    </xf>
    <xf numFmtId="1" fontId="105" fillId="9" borderId="74" xfId="0" applyNumberFormat="1" applyFont="1" applyFill="1" applyBorder="1" applyAlignment="1">
      <alignment vertical="top" wrapText="1"/>
    </xf>
    <xf numFmtId="1" fontId="42" fillId="9" borderId="74" xfId="0" applyNumberFormat="1" applyFont="1" applyFill="1" applyBorder="1" applyAlignment="1">
      <alignment horizontal="center" vertical="center" wrapText="1"/>
    </xf>
    <xf numFmtId="1" fontId="98" fillId="19" borderId="74" xfId="0" applyNumberFormat="1" applyFont="1" applyFill="1" applyBorder="1" applyAlignment="1">
      <alignment vertical="top" wrapText="1"/>
    </xf>
    <xf numFmtId="9" fontId="105" fillId="9" borderId="89" xfId="1" applyNumberFormat="1" applyFont="1" applyFill="1" applyBorder="1" applyAlignment="1">
      <alignment vertical="top" wrapText="1"/>
    </xf>
    <xf numFmtId="1" fontId="42" fillId="9" borderId="89" xfId="0" applyNumberFormat="1" applyFont="1" applyFill="1" applyBorder="1" applyAlignment="1">
      <alignment horizontal="center" vertical="center" wrapText="1"/>
    </xf>
    <xf numFmtId="9" fontId="98" fillId="9" borderId="90" xfId="0" applyNumberFormat="1" applyFont="1" applyFill="1" applyBorder="1" applyAlignment="1">
      <alignment vertical="top" wrapText="1"/>
    </xf>
    <xf numFmtId="1" fontId="98" fillId="5" borderId="73" xfId="0" applyNumberFormat="1" applyFont="1" applyFill="1" applyBorder="1" applyAlignment="1">
      <alignment horizontal="center" vertical="center" wrapText="1"/>
    </xf>
    <xf numFmtId="0" fontId="98" fillId="8" borderId="73" xfId="0" applyFont="1" applyFill="1" applyBorder="1" applyAlignment="1">
      <alignment horizontal="center" vertical="center" wrapText="1"/>
    </xf>
    <xf numFmtId="1" fontId="98" fillId="9" borderId="73" xfId="0" applyNumberFormat="1" applyFont="1" applyFill="1" applyBorder="1" applyAlignment="1">
      <alignment horizontal="center" vertical="center" wrapText="1"/>
    </xf>
    <xf numFmtId="0" fontId="66" fillId="45" borderId="0" xfId="0" applyFont="1" applyFill="1"/>
    <xf numFmtId="0" fontId="0" fillId="45" borderId="0" xfId="0" applyFill="1"/>
    <xf numFmtId="0" fontId="36" fillId="45" borderId="0" xfId="0" applyFont="1" applyFill="1"/>
    <xf numFmtId="0" fontId="32" fillId="0" borderId="0" xfId="0" applyFont="1" applyFill="1"/>
    <xf numFmtId="1" fontId="32" fillId="0" borderId="0" xfId="0" applyNumberFormat="1" applyFont="1" applyFill="1"/>
    <xf numFmtId="0" fontId="32" fillId="0" borderId="0" xfId="0" applyFont="1" applyFill="1" applyAlignment="1">
      <alignment wrapText="1" readingOrder="1"/>
    </xf>
    <xf numFmtId="165" fontId="32" fillId="0" borderId="0" xfId="0" applyNumberFormat="1" applyFont="1" applyFill="1"/>
    <xf numFmtId="1" fontId="32" fillId="0" borderId="0" xfId="0" applyNumberFormat="1" applyFont="1" applyFill="1" applyBorder="1" applyAlignment="1">
      <alignment wrapText="1"/>
    </xf>
    <xf numFmtId="0" fontId="32" fillId="0" borderId="0" xfId="0" applyFont="1" applyFill="1" applyAlignment="1">
      <alignment wrapText="1"/>
    </xf>
    <xf numFmtId="0" fontId="32" fillId="0" borderId="0" xfId="0" applyNumberFormat="1" applyFont="1" applyFill="1" applyAlignment="1">
      <alignment wrapText="1"/>
    </xf>
    <xf numFmtId="0" fontId="0" fillId="0" borderId="0" xfId="0"/>
    <xf numFmtId="14" fontId="24" fillId="3" borderId="2" xfId="0" applyNumberFormat="1" applyFont="1" applyFill="1" applyBorder="1" applyAlignment="1">
      <alignment horizontal="left" vertical="center" readingOrder="1"/>
    </xf>
    <xf numFmtId="0" fontId="48" fillId="0" borderId="0" xfId="9" applyFont="1" applyFill="1" applyBorder="1" applyAlignment="1">
      <alignment horizontal="right"/>
    </xf>
    <xf numFmtId="0" fontId="32" fillId="0" borderId="0" xfId="0" applyFont="1" applyFill="1"/>
    <xf numFmtId="0" fontId="32" fillId="0" borderId="0" xfId="0" applyFont="1" applyFill="1" applyBorder="1"/>
    <xf numFmtId="0" fontId="71" fillId="0" borderId="0" xfId="0" applyNumberFormat="1" applyFont="1" applyFill="1"/>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32" fillId="0" borderId="17" xfId="0" applyFont="1" applyFill="1" applyBorder="1"/>
    <xf numFmtId="0" fontId="32" fillId="0" borderId="0" xfId="0" applyNumberFormat="1" applyFont="1" applyFill="1" applyBorder="1"/>
    <xf numFmtId="1" fontId="32" fillId="0" borderId="0" xfId="0" applyNumberFormat="1" applyFont="1" applyFill="1" applyBorder="1"/>
    <xf numFmtId="0" fontId="32" fillId="0" borderId="0" xfId="0" applyFont="1" applyFill="1" applyBorder="1" applyAlignment="1">
      <alignment wrapText="1" readingOrder="1"/>
    </xf>
    <xf numFmtId="0" fontId="0" fillId="0" borderId="0" xfId="0" applyFill="1"/>
    <xf numFmtId="0" fontId="32" fillId="0" borderId="0" xfId="0" applyNumberFormat="1" applyFont="1" applyFill="1" applyAlignment="1">
      <alignment wrapText="1" readingOrder="1"/>
    </xf>
    <xf numFmtId="0" fontId="32" fillId="0" borderId="0" xfId="0" applyNumberFormat="1" applyFont="1" applyFill="1" applyBorder="1" applyAlignment="1">
      <alignment wrapText="1" readingOrder="1"/>
    </xf>
    <xf numFmtId="0" fontId="47" fillId="0" borderId="0" xfId="0" applyFont="1" applyFill="1" applyBorder="1" applyAlignment="1">
      <alignment horizontal="left" vertical="center" readingOrder="1"/>
    </xf>
    <xf numFmtId="0" fontId="47" fillId="0" borderId="0" xfId="0" applyNumberFormat="1" applyFont="1" applyFill="1" applyBorder="1" applyAlignment="1">
      <alignment horizontal="left" vertical="center" readingOrder="1"/>
    </xf>
    <xf numFmtId="0" fontId="48" fillId="0" borderId="0" xfId="9" applyFont="1" applyFill="1" applyAlignment="1"/>
    <xf numFmtId="0" fontId="48" fillId="0" borderId="0" xfId="0" applyNumberFormat="1" applyFont="1" applyFill="1" applyBorder="1" applyAlignment="1"/>
    <xf numFmtId="0" fontId="32" fillId="0" borderId="22" xfId="0" applyFont="1" applyFill="1" applyBorder="1"/>
    <xf numFmtId="0" fontId="32" fillId="0" borderId="21" xfId="0" applyFont="1" applyFill="1" applyBorder="1"/>
    <xf numFmtId="0" fontId="32" fillId="0" borderId="21" xfId="0" applyNumberFormat="1" applyFont="1" applyFill="1" applyBorder="1"/>
    <xf numFmtId="1" fontId="32" fillId="0" borderId="21" xfId="0" applyNumberFormat="1" applyFont="1" applyFill="1" applyBorder="1"/>
    <xf numFmtId="0" fontId="32" fillId="0" borderId="25" xfId="0" applyFont="1" applyFill="1" applyBorder="1"/>
    <xf numFmtId="0" fontId="32" fillId="0" borderId="24" xfId="0" applyFont="1" applyFill="1" applyBorder="1"/>
    <xf numFmtId="165" fontId="32" fillId="0" borderId="0" xfId="0" applyNumberFormat="1" applyFont="1" applyFill="1"/>
    <xf numFmtId="165" fontId="32" fillId="0" borderId="0" xfId="0" applyNumberFormat="1" applyFont="1" applyFill="1" applyBorder="1"/>
    <xf numFmtId="0" fontId="32" fillId="0" borderId="49" xfId="0" applyFont="1" applyFill="1" applyBorder="1"/>
    <xf numFmtId="0" fontId="86" fillId="0" borderId="0" xfId="9" applyFont="1" applyFill="1" applyBorder="1" applyAlignment="1"/>
    <xf numFmtId="0" fontId="32" fillId="0" borderId="24" xfId="0" applyNumberFormat="1" applyFont="1" applyFill="1" applyBorder="1"/>
    <xf numFmtId="1" fontId="32" fillId="0" borderId="25" xfId="0" applyNumberFormat="1" applyFont="1" applyFill="1" applyBorder="1"/>
    <xf numFmtId="1" fontId="47" fillId="0" borderId="0" xfId="0" applyNumberFormat="1" applyFont="1" applyFill="1" applyBorder="1" applyAlignment="1">
      <alignment horizontal="left" vertical="center" readingOrder="1"/>
    </xf>
    <xf numFmtId="49" fontId="91" fillId="0" borderId="0" xfId="0" applyNumberFormat="1" applyFont="1" applyFill="1" applyBorder="1" applyAlignment="1">
      <alignment horizontal="left" vertical="center"/>
    </xf>
    <xf numFmtId="0" fontId="86" fillId="0" borderId="0" xfId="9" applyFont="1" applyFill="1" applyBorder="1" applyAlignment="1">
      <alignment horizontal="right"/>
    </xf>
    <xf numFmtId="1" fontId="32" fillId="0" borderId="22" xfId="0" applyNumberFormat="1" applyFont="1" applyFill="1" applyBorder="1"/>
    <xf numFmtId="0" fontId="0" fillId="0" borderId="0" xfId="0" applyFill="1" applyBorder="1"/>
    <xf numFmtId="0" fontId="66" fillId="0" borderId="0" xfId="0" pivotButton="1" applyFont="1"/>
    <xf numFmtId="0" fontId="78" fillId="40" borderId="0" xfId="0" applyFont="1" applyFill="1" applyAlignment="1">
      <alignment wrapText="1"/>
    </xf>
    <xf numFmtId="0" fontId="115" fillId="26" borderId="0" xfId="0" applyFont="1" applyFill="1"/>
    <xf numFmtId="164" fontId="116" fillId="0" borderId="0" xfId="0" applyNumberFormat="1" applyFont="1" applyFill="1"/>
    <xf numFmtId="164" fontId="66" fillId="0" borderId="0" xfId="0" applyNumberFormat="1" applyFont="1" applyFill="1"/>
    <xf numFmtId="1" fontId="98" fillId="19" borderId="0" xfId="0" applyNumberFormat="1" applyFont="1" applyFill="1" applyBorder="1" applyAlignment="1">
      <alignment vertical="top" wrapText="1"/>
    </xf>
    <xf numFmtId="0" fontId="16" fillId="0" borderId="0" xfId="0" pivotButton="1" applyFont="1"/>
    <xf numFmtId="0" fontId="117" fillId="40" borderId="0" xfId="0" applyFont="1" applyFill="1" applyAlignment="1"/>
    <xf numFmtId="0" fontId="82" fillId="0" borderId="0" xfId="0" applyFont="1"/>
    <xf numFmtId="0" fontId="34" fillId="8" borderId="73" xfId="0" applyFont="1" applyFill="1" applyBorder="1" applyAlignment="1">
      <alignment horizontal="center" vertical="center" wrapText="1"/>
    </xf>
    <xf numFmtId="164" fontId="81" fillId="0" borderId="48" xfId="4" applyNumberFormat="1" applyFont="1" applyBorder="1"/>
    <xf numFmtId="0" fontId="32" fillId="0" borderId="25" xfId="0" applyFont="1" applyFill="1" applyBorder="1" applyAlignment="1">
      <alignment wrapText="1"/>
    </xf>
    <xf numFmtId="0" fontId="118" fillId="39" borderId="52" xfId="0" applyFont="1" applyFill="1" applyBorder="1"/>
    <xf numFmtId="0" fontId="91" fillId="0" borderId="0" xfId="0" applyFont="1" applyFill="1" applyAlignment="1">
      <alignment vertical="center"/>
    </xf>
    <xf numFmtId="0" fontId="32" fillId="9" borderId="0" xfId="0" applyFont="1" applyFill="1"/>
    <xf numFmtId="0" fontId="71" fillId="0" borderId="0" xfId="0" applyFont="1" applyFill="1"/>
    <xf numFmtId="0" fontId="71" fillId="0" borderId="0" xfId="0" applyNumberFormat="1" applyFont="1" applyFill="1" applyBorder="1"/>
    <xf numFmtId="0" fontId="71" fillId="0" borderId="0" xfId="0" applyFont="1" applyFill="1" applyBorder="1"/>
    <xf numFmtId="1" fontId="85" fillId="0" borderId="0" xfId="0" applyNumberFormat="1" applyFont="1" applyFill="1" applyBorder="1"/>
    <xf numFmtId="0" fontId="85" fillId="0" borderId="0" xfId="0" applyNumberFormat="1" applyFont="1" applyFill="1" applyBorder="1" applyAlignment="1">
      <alignment wrapText="1" readingOrder="1"/>
    </xf>
    <xf numFmtId="0" fontId="16" fillId="0" borderId="0" xfId="0" applyFont="1" applyAlignment="1">
      <alignment horizontal="center" vertical="center" wrapText="1"/>
    </xf>
    <xf numFmtId="0" fontId="79" fillId="0" borderId="0" xfId="0" applyFont="1" applyAlignment="1">
      <alignment horizontal="center" vertical="center" wrapText="1"/>
    </xf>
    <xf numFmtId="1" fontId="119" fillId="0" borderId="0" xfId="0" applyNumberFormat="1" applyFont="1" applyFill="1"/>
    <xf numFmtId="0" fontId="119" fillId="0" borderId="24" xfId="0" applyNumberFormat="1" applyFont="1" applyFill="1" applyBorder="1"/>
    <xf numFmtId="0" fontId="119" fillId="0" borderId="0" xfId="0" applyFont="1" applyFill="1"/>
    <xf numFmtId="0" fontId="119" fillId="0" borderId="0" xfId="0" applyNumberFormat="1" applyFont="1" applyFill="1" applyAlignment="1">
      <alignment wrapText="1" readingOrder="1"/>
    </xf>
    <xf numFmtId="165" fontId="119" fillId="0" borderId="0" xfId="0" applyNumberFormat="1" applyFont="1" applyFill="1"/>
    <xf numFmtId="165" fontId="119" fillId="0" borderId="0" xfId="0" applyNumberFormat="1" applyFont="1" applyFill="1" applyAlignment="1">
      <alignment wrapText="1" readingOrder="1"/>
    </xf>
    <xf numFmtId="0" fontId="119" fillId="0" borderId="0" xfId="0" applyFont="1" applyFill="1" applyAlignment="1">
      <alignment wrapText="1" readingOrder="1"/>
    </xf>
    <xf numFmtId="14" fontId="24" fillId="3" borderId="0" xfId="0" applyNumberFormat="1" applyFont="1" applyFill="1" applyBorder="1" applyAlignment="1">
      <alignment horizontal="left" vertical="center" readingOrder="1"/>
    </xf>
    <xf numFmtId="0" fontId="119" fillId="0" borderId="0" xfId="0" applyNumberFormat="1" applyFont="1" applyFill="1" applyBorder="1"/>
    <xf numFmtId="0" fontId="119" fillId="0" borderId="21" xfId="0" applyNumberFormat="1" applyFont="1" applyFill="1" applyBorder="1"/>
    <xf numFmtId="1" fontId="119" fillId="0" borderId="25" xfId="0" applyNumberFormat="1" applyFont="1" applyFill="1" applyBorder="1"/>
    <xf numFmtId="1" fontId="32" fillId="0" borderId="24" xfId="0" applyNumberFormat="1" applyFont="1" applyFill="1" applyBorder="1"/>
    <xf numFmtId="1" fontId="119" fillId="0" borderId="0" xfId="0" applyNumberFormat="1" applyFont="1" applyFill="1" applyBorder="1"/>
    <xf numFmtId="1" fontId="119" fillId="0" borderId="22" xfId="0" applyNumberFormat="1" applyFont="1" applyFill="1" applyBorder="1"/>
    <xf numFmtId="0" fontId="119" fillId="0" borderId="0" xfId="0" applyFont="1" applyFill="1" applyBorder="1"/>
    <xf numFmtId="0" fontId="119" fillId="0" borderId="0" xfId="0" applyNumberFormat="1" applyFont="1" applyFill="1" applyBorder="1" applyAlignment="1">
      <alignment wrapText="1" readingOrder="1"/>
    </xf>
    <xf numFmtId="1" fontId="42" fillId="9" borderId="0" xfId="0" applyNumberFormat="1" applyFont="1" applyFill="1" applyBorder="1" applyAlignment="1">
      <alignment horizontal="center" vertical="center" wrapText="1"/>
    </xf>
    <xf numFmtId="166" fontId="14" fillId="20" borderId="0" xfId="8" applyFont="1" applyFill="1" applyBorder="1"/>
    <xf numFmtId="0" fontId="77" fillId="0" borderId="0" xfId="0" applyFont="1" applyFill="1" applyAlignment="1">
      <alignment vertical="center"/>
    </xf>
    <xf numFmtId="0" fontId="120" fillId="0" borderId="0" xfId="0" applyFont="1" applyAlignment="1">
      <alignment horizontal="left"/>
    </xf>
    <xf numFmtId="9" fontId="120" fillId="0" borderId="0" xfId="0" applyNumberFormat="1" applyFont="1"/>
    <xf numFmtId="0" fontId="13" fillId="0" borderId="0" xfId="0" applyFont="1"/>
    <xf numFmtId="0" fontId="13" fillId="0" borderId="0" xfId="0" applyNumberFormat="1" applyFont="1"/>
    <xf numFmtId="164" fontId="13" fillId="0" borderId="0" xfId="0" applyNumberFormat="1" applyFont="1"/>
    <xf numFmtId="9" fontId="13" fillId="0" borderId="0" xfId="0" applyNumberFormat="1" applyFont="1"/>
    <xf numFmtId="0" fontId="94" fillId="0" borderId="21" xfId="0" applyNumberFormat="1" applyFont="1" applyFill="1" applyBorder="1"/>
    <xf numFmtId="1" fontId="119" fillId="0" borderId="49" xfId="0" applyNumberFormat="1" applyFont="1" applyFill="1" applyBorder="1"/>
    <xf numFmtId="1" fontId="94" fillId="0" borderId="22" xfId="0" applyNumberFormat="1" applyFont="1" applyFill="1" applyBorder="1"/>
    <xf numFmtId="0" fontId="86" fillId="0" borderId="17" xfId="9" applyFont="1" applyFill="1" applyBorder="1" applyAlignment="1"/>
    <xf numFmtId="0" fontId="29" fillId="0" borderId="39" xfId="0" applyFont="1" applyBorder="1" applyAlignment="1">
      <alignment wrapText="1"/>
    </xf>
    <xf numFmtId="0" fontId="29" fillId="0" borderId="39" xfId="0" applyFont="1" applyBorder="1"/>
    <xf numFmtId="0" fontId="29" fillId="0" borderId="40" xfId="0" applyFont="1" applyBorder="1"/>
    <xf numFmtId="0" fontId="80" fillId="0" borderId="42" xfId="0" applyNumberFormat="1" applyFont="1" applyBorder="1"/>
    <xf numFmtId="0" fontId="12" fillId="14" borderId="0" xfId="0" applyFont="1" applyFill="1" applyAlignment="1">
      <alignment horizontal="left"/>
    </xf>
    <xf numFmtId="164" fontId="12" fillId="14" borderId="0" xfId="0" applyNumberFormat="1" applyFont="1" applyFill="1"/>
    <xf numFmtId="9" fontId="12" fillId="14" borderId="0" xfId="0" applyNumberFormat="1" applyFont="1" applyFill="1"/>
    <xf numFmtId="0" fontId="77" fillId="0" borderId="0" xfId="0" applyFont="1" applyFill="1"/>
    <xf numFmtId="0" fontId="78" fillId="0" borderId="0" xfId="0" applyFont="1" applyFill="1"/>
    <xf numFmtId="0" fontId="12" fillId="0" borderId="0" xfId="0" applyFont="1" applyFill="1" applyAlignment="1">
      <alignment horizontal="left"/>
    </xf>
    <xf numFmtId="164" fontId="12" fillId="0" borderId="0" xfId="0" applyNumberFormat="1" applyFont="1" applyFill="1"/>
    <xf numFmtId="9" fontId="12" fillId="0" borderId="0" xfId="0" applyNumberFormat="1" applyFont="1" applyFill="1"/>
    <xf numFmtId="0" fontId="0" fillId="0" borderId="0" xfId="0" applyNumberFormat="1"/>
    <xf numFmtId="0" fontId="0" fillId="0" borderId="0" xfId="0"/>
    <xf numFmtId="14" fontId="24" fillId="3" borderId="2" xfId="0" applyNumberFormat="1" applyFont="1" applyFill="1" applyBorder="1" applyAlignment="1">
      <alignment horizontal="left" vertical="center" readingOrder="1"/>
    </xf>
    <xf numFmtId="9" fontId="24" fillId="0" borderId="0" xfId="1" applyFont="1" applyFill="1" applyAlignment="1">
      <alignment horizontal="left" vertical="center" readingOrder="1"/>
    </xf>
    <xf numFmtId="1" fontId="24" fillId="0" borderId="0" xfId="1" applyNumberFormat="1" applyFont="1" applyFill="1" applyAlignment="1">
      <alignment horizontal="left" vertical="center" readingOrder="1"/>
    </xf>
    <xf numFmtId="9" fontId="24" fillId="0" borderId="0" xfId="1" applyNumberFormat="1" applyFont="1" applyFill="1" applyAlignment="1">
      <alignment horizontal="left" vertical="center" readingOrder="1"/>
    </xf>
    <xf numFmtId="0" fontId="0" fillId="0" borderId="0" xfId="0" pivotButton="1"/>
    <xf numFmtId="0" fontId="32" fillId="0" borderId="0" xfId="0" applyFont="1" applyFill="1"/>
    <xf numFmtId="1" fontId="24" fillId="0" borderId="0" xfId="0" applyNumberFormat="1" applyFont="1" applyFill="1" applyAlignment="1">
      <alignment horizontal="left" vertical="center" readingOrder="1"/>
    </xf>
    <xf numFmtId="0" fontId="32" fillId="0" borderId="0" xfId="0" applyFont="1" applyFill="1" applyBorder="1"/>
    <xf numFmtId="0" fontId="71" fillId="0" borderId="0" xfId="0" applyNumberFormat="1" applyFont="1" applyFill="1"/>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32" fillId="0" borderId="17" xfId="0" applyFont="1" applyFill="1" applyBorder="1"/>
    <xf numFmtId="0" fontId="32" fillId="0" borderId="0" xfId="0" applyNumberFormat="1" applyFont="1" applyFill="1" applyBorder="1"/>
    <xf numFmtId="1" fontId="32" fillId="0" borderId="0" xfId="0" applyNumberFormat="1" applyFont="1" applyFill="1" applyBorder="1"/>
    <xf numFmtId="0" fontId="32" fillId="0" borderId="0" xfId="0" applyFont="1" applyFill="1" applyBorder="1" applyAlignment="1">
      <alignment wrapText="1" readingOrder="1"/>
    </xf>
    <xf numFmtId="0" fontId="0" fillId="0" borderId="0" xfId="0" applyFill="1"/>
    <xf numFmtId="0" fontId="32" fillId="0" borderId="0" xfId="0" applyNumberFormat="1" applyFont="1" applyFill="1" applyAlignment="1">
      <alignment wrapText="1" readingOrder="1"/>
    </xf>
    <xf numFmtId="0" fontId="32" fillId="0" borderId="0" xfId="0" applyNumberFormat="1" applyFont="1" applyFill="1" applyBorder="1" applyAlignment="1">
      <alignment wrapText="1" readingOrder="1"/>
    </xf>
    <xf numFmtId="0" fontId="47" fillId="0" borderId="0" xfId="0" applyFont="1" applyFill="1" applyBorder="1" applyAlignment="1">
      <alignment horizontal="left" vertical="center" readingOrder="1"/>
    </xf>
    <xf numFmtId="0" fontId="47" fillId="0" borderId="0" xfId="0" applyNumberFormat="1" applyFont="1" applyFill="1" applyBorder="1" applyAlignment="1">
      <alignment horizontal="left" vertical="center" readingOrder="1"/>
    </xf>
    <xf numFmtId="0" fontId="48" fillId="0" borderId="0" xfId="9" applyFont="1" applyFill="1" applyAlignment="1"/>
    <xf numFmtId="0" fontId="32" fillId="0" borderId="22" xfId="0" applyFont="1" applyFill="1" applyBorder="1"/>
    <xf numFmtId="0" fontId="32" fillId="0" borderId="21" xfId="0" applyFont="1" applyFill="1" applyBorder="1"/>
    <xf numFmtId="0" fontId="32" fillId="0" borderId="21" xfId="0" applyNumberFormat="1" applyFont="1" applyFill="1" applyBorder="1"/>
    <xf numFmtId="1" fontId="32" fillId="0" borderId="21" xfId="0" applyNumberFormat="1" applyFont="1" applyFill="1" applyBorder="1"/>
    <xf numFmtId="0" fontId="32" fillId="0" borderId="25" xfId="0" applyFont="1" applyFill="1" applyBorder="1"/>
    <xf numFmtId="0" fontId="32" fillId="0" borderId="24" xfId="0" applyFont="1" applyFill="1" applyBorder="1"/>
    <xf numFmtId="0" fontId="24" fillId="0" borderId="0" xfId="0" applyNumberFormat="1" applyFont="1" applyFill="1" applyAlignment="1">
      <alignment horizontal="left" vertical="center" readingOrder="1"/>
    </xf>
    <xf numFmtId="165" fontId="32" fillId="0" borderId="0" xfId="0" applyNumberFormat="1" applyFont="1" applyFill="1"/>
    <xf numFmtId="165" fontId="32" fillId="0" borderId="0" xfId="0" applyNumberFormat="1" applyFont="1" applyFill="1" applyBorder="1"/>
    <xf numFmtId="165" fontId="47" fillId="0" borderId="0" xfId="0" applyNumberFormat="1" applyFont="1" applyFill="1" applyBorder="1" applyAlignment="1">
      <alignment horizontal="left" vertical="center" wrapText="1" readingOrder="1"/>
    </xf>
    <xf numFmtId="0" fontId="32" fillId="0" borderId="49" xfId="0" applyFont="1" applyFill="1" applyBorder="1"/>
    <xf numFmtId="0" fontId="86" fillId="0" borderId="0" xfId="9" applyFont="1" applyAlignment="1"/>
    <xf numFmtId="0" fontId="47" fillId="0" borderId="24" xfId="0" applyFont="1" applyFill="1" applyBorder="1" applyAlignment="1">
      <alignment horizontal="left" vertical="center" readingOrder="1"/>
    </xf>
    <xf numFmtId="0" fontId="86" fillId="0" borderId="0" xfId="9" applyFont="1" applyFill="1" applyBorder="1" applyAlignment="1"/>
    <xf numFmtId="0" fontId="32" fillId="0" borderId="0" xfId="0" applyFont="1" applyBorder="1"/>
    <xf numFmtId="0" fontId="32" fillId="0" borderId="24" xfId="0" applyNumberFormat="1" applyFont="1" applyFill="1" applyBorder="1"/>
    <xf numFmtId="1" fontId="32" fillId="0" borderId="25" xfId="0" applyNumberFormat="1" applyFont="1" applyFill="1" applyBorder="1"/>
    <xf numFmtId="0" fontId="47" fillId="0" borderId="25" xfId="0" applyFont="1" applyFill="1" applyBorder="1" applyAlignment="1">
      <alignment horizontal="left" vertical="center" readingOrder="1"/>
    </xf>
    <xf numFmtId="49" fontId="91" fillId="0" borderId="0" xfId="0" applyNumberFormat="1" applyFont="1" applyFill="1" applyBorder="1" applyAlignment="1">
      <alignment horizontal="left" vertical="center"/>
    </xf>
    <xf numFmtId="0" fontId="91" fillId="0" borderId="0" xfId="0" applyFont="1" applyFill="1" applyBorder="1" applyAlignment="1">
      <alignment horizontal="left" vertical="center"/>
    </xf>
    <xf numFmtId="49" fontId="91" fillId="0" borderId="0" xfId="21" applyNumberFormat="1" applyFont="1" applyFill="1" applyBorder="1" applyAlignment="1">
      <alignment horizontal="left" vertical="center"/>
    </xf>
    <xf numFmtId="0" fontId="32" fillId="0" borderId="24" xfId="0" applyFont="1" applyFill="1" applyBorder="1" applyAlignment="1"/>
    <xf numFmtId="0" fontId="32" fillId="0" borderId="0" xfId="0" applyFont="1" applyFill="1" applyAlignment="1"/>
    <xf numFmtId="165" fontId="32" fillId="0" borderId="0" xfId="0" applyNumberFormat="1" applyFont="1" applyFill="1" applyAlignment="1"/>
    <xf numFmtId="0" fontId="32" fillId="0" borderId="0" xfId="0" applyFont="1" applyFill="1" applyAlignment="1">
      <alignment readingOrder="1"/>
    </xf>
    <xf numFmtId="49" fontId="71" fillId="42" borderId="25" xfId="0" applyNumberFormat="1" applyFont="1" applyFill="1" applyBorder="1" applyAlignment="1">
      <alignment horizontal="left" vertical="center"/>
    </xf>
    <xf numFmtId="0" fontId="91" fillId="42" borderId="25" xfId="0" applyFont="1" applyFill="1" applyBorder="1" applyAlignment="1">
      <alignment horizontal="left" vertical="center"/>
    </xf>
    <xf numFmtId="1" fontId="32" fillId="0" borderId="49" xfId="0" applyNumberFormat="1" applyFont="1" applyFill="1" applyBorder="1"/>
    <xf numFmtId="0" fontId="86" fillId="0" borderId="0" xfId="9" applyFont="1" applyFill="1" applyBorder="1" applyAlignment="1">
      <alignment horizontal="right"/>
    </xf>
    <xf numFmtId="164" fontId="24" fillId="0" borderId="0" xfId="4" applyNumberFormat="1" applyFont="1" applyFill="1" applyAlignment="1">
      <alignment horizontal="left" vertical="center" readingOrder="1"/>
    </xf>
    <xf numFmtId="0" fontId="85" fillId="0" borderId="17" xfId="0" applyFont="1" applyFill="1" applyBorder="1"/>
    <xf numFmtId="165" fontId="32" fillId="0" borderId="0" xfId="0" applyNumberFormat="1" applyFont="1" applyFill="1" applyAlignment="1">
      <alignment wrapText="1" readingOrder="1"/>
    </xf>
    <xf numFmtId="0" fontId="29" fillId="0" borderId="38" xfId="0" applyFont="1" applyBorder="1" applyAlignment="1">
      <alignment wrapText="1"/>
    </xf>
    <xf numFmtId="1" fontId="16" fillId="0" borderId="0" xfId="1" applyNumberFormat="1" applyFont="1"/>
    <xf numFmtId="0" fontId="34" fillId="8" borderId="73" xfId="0" applyFont="1" applyFill="1" applyBorder="1" applyAlignment="1">
      <alignment horizontal="center" vertical="center" wrapText="1"/>
    </xf>
    <xf numFmtId="1" fontId="121" fillId="0" borderId="0" xfId="0" applyNumberFormat="1" applyFont="1" applyFill="1"/>
    <xf numFmtId="0" fontId="121" fillId="0" borderId="24" xfId="0" applyNumberFormat="1" applyFont="1" applyFill="1" applyBorder="1"/>
    <xf numFmtId="1"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0" fontId="31" fillId="18" borderId="66" xfId="19" applyFont="1" applyFill="1" applyBorder="1" applyAlignment="1">
      <alignment horizontal="left" vertical="center" wrapText="1"/>
    </xf>
    <xf numFmtId="0" fontId="31" fillId="11" borderId="66" xfId="19" applyFont="1" applyFill="1" applyBorder="1" applyAlignment="1">
      <alignment horizontal="left" vertical="center" wrapText="1"/>
    </xf>
    <xf numFmtId="9" fontId="31" fillId="46" borderId="69" xfId="19" applyNumberFormat="1" applyFont="1" applyFill="1" applyBorder="1" applyAlignment="1">
      <alignment horizontal="left" vertical="center" wrapText="1" readingOrder="1"/>
    </xf>
    <xf numFmtId="9" fontId="31" fillId="34" borderId="69" xfId="19" applyNumberFormat="1" applyFont="1" applyFill="1" applyBorder="1" applyAlignment="1">
      <alignment horizontal="left" vertical="center" wrapText="1" readingOrder="1"/>
    </xf>
    <xf numFmtId="9" fontId="123" fillId="37" borderId="0" xfId="19" applyNumberFormat="1" applyFont="1" applyFill="1" applyBorder="1" applyAlignment="1">
      <alignment horizontal="center" vertical="center" wrapText="1" readingOrder="1"/>
    </xf>
    <xf numFmtId="0" fontId="112" fillId="38" borderId="66" xfId="22" applyNumberFormat="1" applyFont="1" applyFill="1" applyBorder="1" applyAlignment="1">
      <alignment horizontal="center" vertical="center" readingOrder="1"/>
    </xf>
    <xf numFmtId="0" fontId="112" fillId="9" borderId="66" xfId="22" applyNumberFormat="1" applyFont="1" applyFill="1" applyBorder="1" applyAlignment="1">
      <alignment horizontal="center" vertical="center" readingOrder="1"/>
    </xf>
    <xf numFmtId="0" fontId="112" fillId="16" borderId="66" xfId="22" applyNumberFormat="1" applyFont="1" applyFill="1" applyBorder="1" applyAlignment="1">
      <alignment horizontal="center" vertical="center" readingOrder="1"/>
    </xf>
    <xf numFmtId="0" fontId="112" fillId="45" borderId="0" xfId="22" applyNumberFormat="1" applyFont="1" applyFill="1" applyBorder="1" applyAlignment="1">
      <alignment horizontal="center" vertical="center" readingOrder="1"/>
    </xf>
    <xf numFmtId="0" fontId="112" fillId="14" borderId="66" xfId="22" applyNumberFormat="1" applyFont="1" applyFill="1" applyBorder="1" applyAlignment="1">
      <alignment horizontal="center" vertical="center" readingOrder="1"/>
    </xf>
    <xf numFmtId="1" fontId="34" fillId="9" borderId="73" xfId="0" applyNumberFormat="1" applyFont="1" applyFill="1" applyBorder="1" applyAlignment="1">
      <alignment horizontal="center" vertical="center" wrapText="1"/>
    </xf>
    <xf numFmtId="9" fontId="34" fillId="9" borderId="80" xfId="1" applyFont="1" applyFill="1" applyBorder="1" applyAlignment="1">
      <alignment horizontal="center" vertical="center" wrapText="1"/>
    </xf>
    <xf numFmtId="9" fontId="34" fillId="9" borderId="89" xfId="1" applyFont="1" applyFill="1" applyBorder="1" applyAlignment="1">
      <alignment horizontal="center" vertical="center" wrapText="1"/>
    </xf>
    <xf numFmtId="1" fontId="34" fillId="9" borderId="74" xfId="0" applyNumberFormat="1" applyFont="1" applyFill="1" applyBorder="1" applyAlignment="1">
      <alignment horizontal="center" vertical="center" wrapText="1"/>
    </xf>
    <xf numFmtId="0" fontId="33" fillId="22" borderId="13" xfId="0" applyNumberFormat="1" applyFont="1" applyFill="1" applyBorder="1" applyAlignment="1">
      <alignment horizontal="center" vertical="center" readingOrder="1"/>
    </xf>
    <xf numFmtId="0" fontId="33" fillId="22" borderId="2" xfId="0" applyNumberFormat="1" applyFont="1" applyFill="1" applyBorder="1" applyAlignment="1">
      <alignment horizontal="center" vertical="center" readingOrder="1"/>
    </xf>
    <xf numFmtId="0" fontId="35" fillId="0" borderId="0" xfId="0" applyFont="1" applyAlignment="1">
      <alignment horizontal="center"/>
    </xf>
    <xf numFmtId="0" fontId="23" fillId="14" borderId="91" xfId="22" applyNumberFormat="1" applyFont="1" applyFill="1" applyBorder="1" applyAlignment="1">
      <alignment horizontal="center" vertical="center" wrapText="1"/>
    </xf>
    <xf numFmtId="0" fontId="23" fillId="38" borderId="67" xfId="22" applyNumberFormat="1" applyFont="1" applyFill="1" applyBorder="1" applyAlignment="1">
      <alignment horizontal="center" vertical="center"/>
    </xf>
    <xf numFmtId="0" fontId="23" fillId="9" borderId="67" xfId="22" applyNumberFormat="1" applyFont="1" applyFill="1" applyBorder="1" applyAlignment="1">
      <alignment horizontal="center" vertical="center" wrapText="1"/>
    </xf>
    <xf numFmtId="9" fontId="123" fillId="16" borderId="91" xfId="19" applyNumberFormat="1" applyFont="1" applyFill="1" applyBorder="1" applyAlignment="1">
      <alignment horizontal="center" vertical="center" wrapText="1" readingOrder="1"/>
    </xf>
    <xf numFmtId="1" fontId="65" fillId="7" borderId="14" xfId="19" applyNumberFormat="1" applyFont="1" applyFill="1" applyBorder="1" applyAlignment="1">
      <alignment horizontal="left" vertical="center" wrapText="1" readingOrder="1"/>
    </xf>
    <xf numFmtId="0" fontId="65" fillId="7" borderId="14" xfId="19" applyFont="1" applyFill="1" applyBorder="1" applyAlignment="1">
      <alignment horizontal="left" vertical="center" wrapText="1" readingOrder="1"/>
    </xf>
    <xf numFmtId="9" fontId="65" fillId="11" borderId="14" xfId="19" applyNumberFormat="1" applyFont="1" applyFill="1" applyBorder="1" applyAlignment="1">
      <alignment horizontal="center" vertical="center" wrapText="1"/>
    </xf>
    <xf numFmtId="9" fontId="65" fillId="34" borderId="14" xfId="19" applyNumberFormat="1" applyFont="1" applyFill="1" applyBorder="1" applyAlignment="1">
      <alignment horizontal="left" vertical="center" wrapText="1" readingOrder="1"/>
    </xf>
    <xf numFmtId="9" fontId="65" fillId="27" borderId="14" xfId="19" applyNumberFormat="1" applyFont="1" applyFill="1" applyBorder="1" applyAlignment="1">
      <alignment horizontal="left" vertical="center" wrapText="1" readingOrder="1"/>
    </xf>
    <xf numFmtId="49" fontId="24" fillId="0" borderId="0" xfId="1" applyNumberFormat="1" applyFont="1" applyFill="1" applyAlignment="1">
      <alignment horizontal="left" vertical="center" readingOrder="1"/>
    </xf>
    <xf numFmtId="0" fontId="112" fillId="18" borderId="75" xfId="0" applyFont="1" applyFill="1" applyBorder="1" applyAlignment="1">
      <alignment vertical="top" wrapText="1"/>
    </xf>
    <xf numFmtId="0" fontId="112" fillId="18" borderId="73" xfId="0" applyFont="1" applyFill="1" applyBorder="1" applyAlignment="1">
      <alignment vertical="top" wrapText="1"/>
    </xf>
    <xf numFmtId="1" fontId="112" fillId="18" borderId="76" xfId="0" applyNumberFormat="1" applyFont="1" applyFill="1" applyBorder="1" applyAlignment="1">
      <alignment vertical="top" wrapText="1"/>
    </xf>
    <xf numFmtId="1" fontId="125" fillId="18" borderId="80" xfId="0" applyNumberFormat="1" applyFont="1" applyFill="1" applyBorder="1" applyAlignment="1">
      <alignment vertical="top" wrapText="1"/>
    </xf>
    <xf numFmtId="1" fontId="112" fillId="18" borderId="80" xfId="0" applyNumberFormat="1" applyFont="1" applyFill="1" applyBorder="1" applyAlignment="1">
      <alignment vertical="top" wrapText="1"/>
    </xf>
    <xf numFmtId="0" fontId="112" fillId="18" borderId="76" xfId="0" applyFont="1" applyFill="1" applyBorder="1" applyAlignment="1">
      <alignment vertical="top" wrapText="1"/>
    </xf>
    <xf numFmtId="1" fontId="126" fillId="6" borderId="73" xfId="0" applyNumberFormat="1" applyFont="1" applyFill="1" applyBorder="1" applyAlignment="1">
      <alignment vertical="top" wrapText="1"/>
    </xf>
    <xf numFmtId="1" fontId="112" fillId="6" borderId="73" xfId="0" applyNumberFormat="1" applyFont="1" applyFill="1" applyBorder="1" applyAlignment="1">
      <alignment vertical="top" wrapText="1"/>
    </xf>
    <xf numFmtId="1" fontId="112" fillId="6" borderId="80" xfId="0" applyNumberFormat="1" applyFont="1" applyFill="1" applyBorder="1" applyAlignment="1">
      <alignment vertical="top" wrapText="1"/>
    </xf>
    <xf numFmtId="1" fontId="112" fillId="6" borderId="75" xfId="0" applyNumberFormat="1" applyFont="1" applyFill="1" applyBorder="1" applyAlignment="1">
      <alignment vertical="top" wrapText="1"/>
    </xf>
    <xf numFmtId="0" fontId="112" fillId="6" borderId="76" xfId="0" applyFont="1" applyFill="1" applyBorder="1" applyAlignment="1">
      <alignment vertical="top" wrapText="1"/>
    </xf>
    <xf numFmtId="0" fontId="112" fillId="6" borderId="74" xfId="0" applyFont="1" applyFill="1" applyBorder="1" applyAlignment="1">
      <alignment vertical="top" wrapText="1"/>
    </xf>
    <xf numFmtId="1" fontId="112" fillId="9" borderId="73" xfId="0" applyNumberFormat="1" applyFont="1" applyFill="1" applyBorder="1" applyAlignment="1">
      <alignment vertical="top" wrapText="1"/>
    </xf>
    <xf numFmtId="1" fontId="129" fillId="9" borderId="73" xfId="0" applyNumberFormat="1" applyFont="1" applyFill="1" applyBorder="1" applyAlignment="1">
      <alignment vertical="top" wrapText="1"/>
    </xf>
    <xf numFmtId="9" fontId="112" fillId="9" borderId="80" xfId="1" applyNumberFormat="1" applyFont="1" applyFill="1" applyBorder="1" applyAlignment="1">
      <alignment vertical="top" wrapText="1"/>
    </xf>
    <xf numFmtId="9" fontId="112" fillId="9" borderId="89" xfId="1" applyNumberFormat="1" applyFont="1" applyFill="1" applyBorder="1" applyAlignment="1">
      <alignment vertical="top" wrapText="1"/>
    </xf>
    <xf numFmtId="1" fontId="112" fillId="9" borderId="74" xfId="0" applyNumberFormat="1" applyFont="1" applyFill="1" applyBorder="1" applyAlignment="1">
      <alignment vertical="top" wrapText="1"/>
    </xf>
    <xf numFmtId="0" fontId="30" fillId="0" borderId="0" xfId="0" applyFont="1" applyAlignment="1"/>
    <xf numFmtId="0" fontId="34" fillId="8" borderId="80" xfId="0" applyFont="1" applyFill="1" applyBorder="1" applyAlignment="1">
      <alignment horizontal="center" vertical="center" wrapText="1"/>
    </xf>
    <xf numFmtId="0" fontId="34" fillId="8" borderId="73" xfId="0" applyFont="1" applyFill="1" applyBorder="1" applyAlignment="1">
      <alignment horizontal="center" vertical="center" wrapText="1"/>
    </xf>
    <xf numFmtId="0" fontId="31" fillId="18" borderId="66" xfId="19" applyFont="1" applyFill="1" applyBorder="1" applyAlignment="1">
      <alignment horizontal="center" vertical="center" wrapText="1"/>
    </xf>
    <xf numFmtId="0" fontId="31" fillId="18" borderId="66" xfId="19" applyFont="1" applyFill="1" applyBorder="1" applyAlignment="1">
      <alignment horizontal="center" vertical="center" wrapText="1" readingOrder="1"/>
    </xf>
    <xf numFmtId="14" fontId="31" fillId="18" borderId="66" xfId="19" applyNumberFormat="1" applyFont="1" applyFill="1" applyBorder="1" applyAlignment="1">
      <alignment horizontal="center" vertical="center" wrapText="1" readingOrder="1"/>
    </xf>
    <xf numFmtId="1" fontId="31" fillId="7" borderId="66" xfId="19" applyNumberFormat="1" applyFont="1" applyFill="1" applyBorder="1" applyAlignment="1">
      <alignment horizontal="center" vertical="center" wrapText="1" readingOrder="1"/>
    </xf>
    <xf numFmtId="0" fontId="31" fillId="7" borderId="66" xfId="19" applyFont="1" applyFill="1" applyBorder="1" applyAlignment="1">
      <alignment horizontal="center" vertical="center" wrapText="1" readingOrder="1"/>
    </xf>
    <xf numFmtId="0" fontId="31" fillId="11" borderId="66" xfId="20" applyNumberFormat="1" applyFont="1" applyFill="1" applyBorder="1" applyAlignment="1">
      <alignment horizontal="center" vertical="center" wrapText="1" readingOrder="1"/>
    </xf>
    <xf numFmtId="0" fontId="31" fillId="11" borderId="66" xfId="19" applyFont="1" applyFill="1" applyBorder="1" applyAlignment="1">
      <alignment horizontal="center" vertical="center" wrapText="1"/>
    </xf>
    <xf numFmtId="9" fontId="31" fillId="11" borderId="69" xfId="19" applyNumberFormat="1" applyFont="1" applyFill="1" applyBorder="1" applyAlignment="1">
      <alignment horizontal="center" vertical="center" wrapText="1" readingOrder="1"/>
    </xf>
    <xf numFmtId="9" fontId="31" fillId="34" borderId="69" xfId="19" applyNumberFormat="1" applyFont="1" applyFill="1" applyBorder="1" applyAlignment="1">
      <alignment horizontal="center" vertical="center" wrapText="1" readingOrder="1"/>
    </xf>
    <xf numFmtId="9" fontId="31" fillId="27" borderId="0" xfId="19" applyNumberFormat="1" applyFont="1" applyFill="1" applyBorder="1" applyAlignment="1">
      <alignment horizontal="center" vertical="center" wrapText="1" readingOrder="1"/>
    </xf>
    <xf numFmtId="0" fontId="34" fillId="5" borderId="85" xfId="0" applyFont="1" applyFill="1" applyBorder="1" applyAlignment="1">
      <alignment vertical="center"/>
    </xf>
    <xf numFmtId="0" fontId="34" fillId="5" borderId="94" xfId="0" applyFont="1" applyFill="1" applyBorder="1" applyAlignment="1">
      <alignment vertical="center"/>
    </xf>
    <xf numFmtId="1" fontId="98" fillId="18" borderId="96" xfId="0" applyNumberFormat="1" applyFont="1" applyFill="1" applyBorder="1" applyAlignment="1">
      <alignment vertical="top" wrapText="1"/>
    </xf>
    <xf numFmtId="1" fontId="98" fillId="18" borderId="98" xfId="0" applyNumberFormat="1" applyFont="1" applyFill="1" applyBorder="1" applyAlignment="1">
      <alignment vertical="top" wrapText="1"/>
    </xf>
    <xf numFmtId="0" fontId="34" fillId="5" borderId="95" xfId="0" applyFont="1" applyFill="1" applyBorder="1" applyAlignment="1">
      <alignment horizontal="center" vertical="center" wrapText="1"/>
    </xf>
    <xf numFmtId="0" fontId="34" fillId="5" borderId="97" xfId="0" applyFont="1" applyFill="1" applyBorder="1" applyAlignment="1">
      <alignment horizontal="center" vertical="center" wrapText="1"/>
    </xf>
    <xf numFmtId="1" fontId="34" fillId="8" borderId="73" xfId="0" applyNumberFormat="1" applyFont="1" applyFill="1" applyBorder="1" applyAlignment="1">
      <alignment horizontal="center" vertical="center" wrapText="1"/>
    </xf>
    <xf numFmtId="1" fontId="39" fillId="8" borderId="73" xfId="0" applyNumberFormat="1" applyFont="1" applyFill="1" applyBorder="1" applyAlignment="1">
      <alignment horizontal="center" vertical="center" wrapText="1"/>
    </xf>
    <xf numFmtId="0" fontId="34" fillId="8" borderId="75" xfId="0" applyFont="1" applyFill="1" applyBorder="1" applyAlignment="1">
      <alignment horizontal="center" vertical="center" wrapText="1"/>
    </xf>
    <xf numFmtId="0" fontId="34" fillId="8" borderId="76" xfId="0" applyFont="1" applyFill="1" applyBorder="1" applyAlignment="1">
      <alignment horizontal="center" vertical="center" wrapText="1"/>
    </xf>
    <xf numFmtId="164" fontId="116" fillId="12" borderId="29" xfId="4" applyNumberFormat="1" applyFont="1" applyFill="1" applyBorder="1" applyAlignment="1">
      <alignment horizontal="center" vertical="center"/>
    </xf>
    <xf numFmtId="164" fontId="116" fillId="12" borderId="34" xfId="4" applyNumberFormat="1" applyFont="1" applyFill="1" applyBorder="1" applyAlignment="1">
      <alignment horizontal="center" vertical="center"/>
    </xf>
    <xf numFmtId="9" fontId="116" fillId="12" borderId="34" xfId="1" applyFont="1" applyFill="1" applyBorder="1" applyAlignment="1">
      <alignment horizontal="center" vertical="center"/>
    </xf>
    <xf numFmtId="164" fontId="116" fillId="12" borderId="29" xfId="4" applyNumberFormat="1" applyFont="1" applyFill="1" applyBorder="1" applyAlignment="1">
      <alignment horizontal="left" vertical="center" wrapText="1"/>
    </xf>
    <xf numFmtId="0" fontId="73" fillId="0" borderId="31" xfId="0" applyFont="1" applyBorder="1" applyAlignment="1">
      <alignment horizontal="center" vertical="center" wrapText="1"/>
    </xf>
    <xf numFmtId="0" fontId="84" fillId="0" borderId="0" xfId="0" applyFont="1"/>
    <xf numFmtId="0" fontId="73" fillId="0" borderId="104" xfId="0" applyFont="1" applyBorder="1" applyAlignment="1">
      <alignment vertical="center" wrapText="1"/>
    </xf>
    <xf numFmtId="0" fontId="73" fillId="0" borderId="105" xfId="0" applyFont="1" applyBorder="1" applyAlignment="1">
      <alignment vertical="center" wrapText="1"/>
    </xf>
    <xf numFmtId="0" fontId="73" fillId="33" borderId="30" xfId="0" applyFont="1" applyFill="1" applyBorder="1" applyAlignment="1">
      <alignment horizontal="center" vertical="center" wrapText="1"/>
    </xf>
    <xf numFmtId="0" fontId="73" fillId="33" borderId="31" xfId="0" applyFont="1" applyFill="1" applyBorder="1" applyAlignment="1">
      <alignment horizontal="center" vertical="center" wrapText="1"/>
    </xf>
    <xf numFmtId="0" fontId="73" fillId="33" borderId="32" xfId="0" applyFont="1" applyFill="1" applyBorder="1" applyAlignment="1">
      <alignment horizontal="center" vertical="center" wrapText="1"/>
    </xf>
    <xf numFmtId="0" fontId="65" fillId="49" borderId="107" xfId="0" applyNumberFormat="1" applyFont="1" applyFill="1" applyBorder="1" applyAlignment="1">
      <alignment horizontal="center" vertical="center" wrapText="1" readingOrder="1"/>
    </xf>
    <xf numFmtId="0" fontId="82" fillId="39" borderId="108" xfId="0" applyFont="1" applyFill="1" applyBorder="1"/>
    <xf numFmtId="0" fontId="0" fillId="0" borderId="4" xfId="0" applyBorder="1"/>
    <xf numFmtId="0" fontId="11" fillId="0" borderId="4" xfId="0" applyFont="1" applyBorder="1"/>
    <xf numFmtId="0" fontId="79" fillId="0" borderId="4" xfId="0" applyFont="1" applyBorder="1"/>
    <xf numFmtId="0" fontId="81" fillId="0" borderId="4" xfId="0" applyFont="1" applyBorder="1" applyAlignment="1">
      <alignment horizontal="left"/>
    </xf>
    <xf numFmtId="9" fontId="16" fillId="0" borderId="4" xfId="1" applyFont="1" applyBorder="1"/>
    <xf numFmtId="0" fontId="11" fillId="0" borderId="54" xfId="0" applyNumberFormat="1" applyFont="1" applyBorder="1"/>
    <xf numFmtId="0" fontId="82" fillId="39" borderId="52" xfId="0" applyFont="1" applyFill="1" applyBorder="1"/>
    <xf numFmtId="0" fontId="11" fillId="0" borderId="53" xfId="0" applyNumberFormat="1" applyFont="1" applyBorder="1"/>
    <xf numFmtId="0" fontId="79" fillId="0" borderId="0" xfId="0" pivotButton="1" applyFont="1"/>
    <xf numFmtId="0" fontId="82" fillId="39" borderId="108" xfId="0" applyFont="1" applyFill="1" applyBorder="1" applyAlignment="1">
      <alignment vertical="top"/>
    </xf>
    <xf numFmtId="9" fontId="132" fillId="0" borderId="113" xfId="0" applyNumberFormat="1" applyFont="1" applyBorder="1"/>
    <xf numFmtId="0" fontId="115" fillId="9" borderId="109" xfId="0" applyFont="1" applyFill="1" applyBorder="1" applyAlignment="1">
      <alignment horizontal="center" vertical="center"/>
    </xf>
    <xf numFmtId="0" fontId="78" fillId="9" borderId="110" xfId="0" applyFont="1" applyFill="1" applyBorder="1" applyAlignment="1">
      <alignment horizontal="center" vertical="center"/>
    </xf>
    <xf numFmtId="0" fontId="78" fillId="9" borderId="111" xfId="0" applyFont="1" applyFill="1" applyBorder="1" applyAlignment="1">
      <alignment horizontal="center" vertical="center"/>
    </xf>
    <xf numFmtId="0" fontId="29" fillId="0" borderId="112" xfId="0" applyFont="1" applyBorder="1"/>
    <xf numFmtId="0" fontId="79" fillId="0" borderId="118" xfId="0" applyFont="1" applyBorder="1"/>
    <xf numFmtId="9" fontId="134" fillId="0" borderId="122" xfId="0" applyNumberFormat="1" applyFont="1" applyBorder="1"/>
    <xf numFmtId="9" fontId="134" fillId="0" borderId="123" xfId="0" applyNumberFormat="1" applyFont="1" applyBorder="1"/>
    <xf numFmtId="0" fontId="133" fillId="0" borderId="124" xfId="0" applyFont="1" applyBorder="1"/>
    <xf numFmtId="9" fontId="134" fillId="0" borderId="125" xfId="0" applyNumberFormat="1" applyFont="1" applyBorder="1"/>
    <xf numFmtId="9" fontId="134" fillId="0" borderId="126" xfId="0" applyNumberFormat="1" applyFont="1" applyBorder="1"/>
    <xf numFmtId="0" fontId="10" fillId="0" borderId="0" xfId="0" applyFont="1"/>
    <xf numFmtId="0" fontId="136" fillId="50" borderId="117" xfId="0" applyFont="1" applyFill="1" applyBorder="1"/>
    <xf numFmtId="0" fontId="136" fillId="50" borderId="81" xfId="0" applyFont="1" applyFill="1" applyBorder="1"/>
    <xf numFmtId="9" fontId="135" fillId="50" borderId="116" xfId="0" applyNumberFormat="1" applyFont="1" applyFill="1" applyBorder="1"/>
    <xf numFmtId="9" fontId="135" fillId="50" borderId="115" xfId="0" applyNumberFormat="1" applyFont="1" applyFill="1" applyBorder="1"/>
    <xf numFmtId="0" fontId="79" fillId="12" borderId="119" xfId="0" applyFont="1" applyFill="1" applyBorder="1"/>
    <xf numFmtId="0" fontId="79" fillId="12" borderId="120" xfId="0" applyFont="1" applyFill="1" applyBorder="1"/>
    <xf numFmtId="0" fontId="75" fillId="16" borderId="0" xfId="0" applyFont="1" applyFill="1"/>
    <xf numFmtId="0" fontId="29" fillId="16" borderId="0" xfId="0" applyFont="1" applyFill="1"/>
    <xf numFmtId="0" fontId="136" fillId="50" borderId="82" xfId="0" applyFont="1" applyFill="1" applyBorder="1"/>
    <xf numFmtId="9" fontId="135" fillId="50" borderId="114" xfId="0" applyNumberFormat="1" applyFont="1" applyFill="1" applyBorder="1"/>
    <xf numFmtId="0" fontId="132" fillId="0" borderId="130" xfId="0" applyFont="1" applyBorder="1" applyAlignment="1">
      <alignment horizontal="left"/>
    </xf>
    <xf numFmtId="0" fontId="66" fillId="0" borderId="60" xfId="0" applyFont="1" applyFill="1" applyBorder="1" applyAlignment="1">
      <alignment vertical="center"/>
    </xf>
    <xf numFmtId="0" fontId="66" fillId="0" borderId="23" xfId="0" applyFont="1" applyFill="1" applyBorder="1" applyAlignment="1">
      <alignment vertical="center"/>
    </xf>
    <xf numFmtId="164" fontId="66" fillId="0" borderId="23" xfId="4" applyNumberFormat="1" applyFont="1" applyFill="1" applyBorder="1" applyAlignment="1">
      <alignment vertical="center"/>
    </xf>
    <xf numFmtId="9" fontId="66" fillId="0" borderId="23" xfId="0" applyNumberFormat="1" applyFont="1" applyFill="1" applyBorder="1" applyAlignment="1">
      <alignment horizontal="center" vertical="center"/>
    </xf>
    <xf numFmtId="9" fontId="66" fillId="0" borderId="61" xfId="0" applyNumberFormat="1" applyFont="1" applyFill="1" applyBorder="1" applyAlignment="1">
      <alignment horizontal="center" vertical="center"/>
    </xf>
    <xf numFmtId="0" fontId="66" fillId="0" borderId="62" xfId="0" applyFont="1" applyFill="1" applyBorder="1" applyAlignment="1">
      <alignment vertical="center"/>
    </xf>
    <xf numFmtId="0" fontId="66" fillId="0" borderId="57" xfId="0" applyFont="1" applyFill="1" applyBorder="1" applyAlignment="1">
      <alignment vertical="center" wrapText="1"/>
    </xf>
    <xf numFmtId="164" fontId="66" fillId="0" borderId="57" xfId="4" applyNumberFormat="1" applyFont="1" applyFill="1" applyBorder="1" applyAlignment="1">
      <alignment vertical="center"/>
    </xf>
    <xf numFmtId="9" fontId="66" fillId="0" borderId="57" xfId="0" applyNumberFormat="1" applyFont="1" applyFill="1" applyBorder="1" applyAlignment="1">
      <alignment horizontal="center" vertical="center"/>
    </xf>
    <xf numFmtId="0" fontId="67" fillId="0" borderId="64" xfId="0" applyFont="1" applyFill="1" applyBorder="1" applyAlignment="1">
      <alignment horizontal="left" vertical="center"/>
    </xf>
    <xf numFmtId="0" fontId="67" fillId="0" borderId="65" xfId="0" applyFont="1" applyFill="1" applyBorder="1" applyAlignment="1">
      <alignment vertical="center"/>
    </xf>
    <xf numFmtId="164" fontId="67" fillId="0" borderId="65" xfId="0" applyNumberFormat="1" applyFont="1" applyFill="1" applyBorder="1" applyAlignment="1">
      <alignment vertical="center"/>
    </xf>
    <xf numFmtId="9" fontId="67" fillId="0" borderId="65" xfId="1" applyFont="1" applyFill="1" applyBorder="1" applyAlignment="1">
      <alignment horizontal="center" vertical="center"/>
    </xf>
    <xf numFmtId="0" fontId="9" fillId="0" borderId="0" xfId="0" applyFont="1"/>
    <xf numFmtId="0" fontId="78" fillId="35" borderId="56" xfId="0" applyFont="1" applyFill="1" applyBorder="1" applyAlignment="1">
      <alignment horizontal="center" vertical="center"/>
    </xf>
    <xf numFmtId="0" fontId="78" fillId="35" borderId="56" xfId="0" applyFont="1" applyFill="1" applyBorder="1" applyAlignment="1">
      <alignment horizontal="center" vertical="center" wrapText="1"/>
    </xf>
    <xf numFmtId="0" fontId="78" fillId="35" borderId="59" xfId="0" applyFont="1" applyFill="1" applyBorder="1" applyAlignment="1">
      <alignment horizontal="center" vertical="center" wrapText="1"/>
    </xf>
    <xf numFmtId="0" fontId="82"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2" fillId="51" borderId="133" xfId="0" applyFont="1" applyFill="1" applyBorder="1" applyAlignment="1">
      <alignment wrapText="1"/>
    </xf>
    <xf numFmtId="0" fontId="0" fillId="0" borderId="50" xfId="0" applyFont="1" applyBorder="1" applyAlignment="1">
      <alignment wrapText="1"/>
    </xf>
    <xf numFmtId="0" fontId="82" fillId="52" borderId="134" xfId="0" applyFont="1" applyFill="1" applyBorder="1" applyAlignment="1">
      <alignment wrapText="1"/>
    </xf>
    <xf numFmtId="0" fontId="82" fillId="54" borderId="132" xfId="0" applyFont="1" applyFill="1" applyBorder="1" applyAlignment="1">
      <alignment wrapText="1"/>
    </xf>
    <xf numFmtId="0" fontId="82" fillId="54" borderId="0" xfId="0" applyFont="1" applyFill="1" applyBorder="1" applyAlignment="1">
      <alignment wrapText="1"/>
    </xf>
    <xf numFmtId="0" fontId="82" fillId="55" borderId="138" xfId="0" applyFont="1" applyFill="1" applyBorder="1" applyAlignment="1">
      <alignment wrapText="1"/>
    </xf>
    <xf numFmtId="0" fontId="82" fillId="55" borderId="116" xfId="0" applyFont="1" applyFill="1" applyBorder="1" applyAlignment="1">
      <alignment wrapText="1"/>
    </xf>
    <xf numFmtId="0" fontId="82" fillId="53" borderId="135" xfId="0" applyFont="1" applyFill="1" applyBorder="1" applyAlignment="1">
      <alignment wrapText="1"/>
    </xf>
    <xf numFmtId="0" fontId="0" fillId="0" borderId="136" xfId="0" applyFont="1" applyBorder="1" applyAlignment="1">
      <alignment horizontal="left" vertical="center" wrapText="1"/>
    </xf>
    <xf numFmtId="0" fontId="82" fillId="53" borderId="137" xfId="0" applyFont="1" applyFill="1" applyBorder="1" applyAlignment="1">
      <alignment wrapText="1"/>
    </xf>
    <xf numFmtId="164" fontId="132" fillId="0" borderId="129" xfId="0" applyNumberFormat="1" applyFont="1" applyBorder="1"/>
    <xf numFmtId="164" fontId="132" fillId="0" borderId="128" xfId="0" applyNumberFormat="1" applyFont="1" applyBorder="1"/>
    <xf numFmtId="0" fontId="132" fillId="0" borderId="139" xfId="0" applyFont="1" applyBorder="1" applyAlignment="1">
      <alignment horizontal="left"/>
    </xf>
    <xf numFmtId="0" fontId="84" fillId="0" borderId="0" xfId="0" applyFont="1" applyFill="1"/>
    <xf numFmtId="0" fontId="0" fillId="0" borderId="0" xfId="0" applyAlignment="1">
      <alignment horizontal="center" vertical="center" wrapText="1"/>
    </xf>
    <xf numFmtId="169" fontId="79" fillId="0" borderId="0" xfId="1" applyNumberFormat="1" applyFont="1"/>
    <xf numFmtId="0" fontId="32" fillId="0" borderId="0" xfId="0" applyFont="1" applyAlignment="1">
      <alignment horizontal="center" vertical="center" wrapText="1"/>
    </xf>
    <xf numFmtId="0" fontId="78" fillId="0" borderId="82" xfId="0" applyFont="1" applyFill="1" applyBorder="1" applyAlignment="1">
      <alignment horizontal="center" vertical="center" wrapText="1"/>
    </xf>
    <xf numFmtId="0" fontId="78" fillId="0" borderId="117" xfId="0" applyFont="1" applyFill="1" applyBorder="1" applyAlignment="1">
      <alignment horizontal="center" vertical="center" wrapText="1"/>
    </xf>
    <xf numFmtId="1" fontId="78" fillId="0" borderId="117" xfId="0" applyNumberFormat="1" applyFont="1" applyFill="1" applyBorder="1" applyAlignment="1">
      <alignment horizontal="center" vertical="center" wrapText="1"/>
    </xf>
    <xf numFmtId="0" fontId="78" fillId="0" borderId="81" xfId="0" applyFont="1" applyFill="1" applyBorder="1" applyAlignment="1">
      <alignment horizontal="center" vertical="center" wrapText="1"/>
    </xf>
    <xf numFmtId="1" fontId="136" fillId="0" borderId="116" xfId="0" applyNumberFormat="1" applyFont="1" applyFill="1" applyBorder="1"/>
    <xf numFmtId="10" fontId="136" fillId="0" borderId="115" xfId="0" applyNumberFormat="1" applyFont="1" applyFill="1" applyBorder="1"/>
    <xf numFmtId="0" fontId="135" fillId="0" borderId="114" xfId="0" applyFont="1" applyFill="1" applyBorder="1" applyAlignment="1">
      <alignment horizontal="left"/>
    </xf>
    <xf numFmtId="9" fontId="137" fillId="0" borderId="0" xfId="0" applyNumberFormat="1" applyFont="1"/>
    <xf numFmtId="9" fontId="0" fillId="0" borderId="0" xfId="1" applyFont="1"/>
    <xf numFmtId="9" fontId="16" fillId="0" borderId="0" xfId="1" applyFont="1"/>
    <xf numFmtId="9" fontId="79" fillId="0" borderId="0" xfId="1" applyFont="1"/>
    <xf numFmtId="0" fontId="138" fillId="0" borderId="114" xfId="0" applyFont="1" applyFill="1" applyBorder="1" applyAlignment="1">
      <alignment horizontal="left"/>
    </xf>
    <xf numFmtId="164" fontId="136" fillId="0" borderId="116" xfId="0" applyNumberFormat="1" applyFont="1" applyFill="1" applyBorder="1"/>
    <xf numFmtId="1" fontId="139" fillId="0" borderId="116" xfId="0" applyNumberFormat="1" applyFont="1" applyFill="1" applyBorder="1" applyAlignment="1">
      <alignment horizontal="right" vertical="center" wrapText="1"/>
    </xf>
    <xf numFmtId="164" fontId="139" fillId="0" borderId="116" xfId="4" applyNumberFormat="1" applyFont="1" applyFill="1" applyBorder="1" applyAlignment="1">
      <alignment horizontal="right" vertical="center" wrapText="1"/>
    </xf>
    <xf numFmtId="10" fontId="139" fillId="0" borderId="115" xfId="0" applyNumberFormat="1" applyFont="1" applyFill="1" applyBorder="1" applyAlignment="1">
      <alignment horizontal="right" vertical="center" wrapText="1"/>
    </xf>
    <xf numFmtId="1" fontId="139" fillId="0" borderId="116" xfId="0" applyNumberFormat="1" applyFont="1" applyFill="1" applyBorder="1" applyAlignment="1">
      <alignment horizontal="right"/>
    </xf>
    <xf numFmtId="164" fontId="139" fillId="0" borderId="116" xfId="4" applyNumberFormat="1" applyFont="1" applyFill="1" applyBorder="1" applyAlignment="1">
      <alignment horizontal="right"/>
    </xf>
    <xf numFmtId="10" fontId="139" fillId="0" borderId="115" xfId="0" applyNumberFormat="1" applyFont="1" applyFill="1" applyBorder="1" applyAlignment="1">
      <alignment horizontal="right"/>
    </xf>
    <xf numFmtId="1" fontId="139" fillId="0" borderId="115" xfId="0" applyNumberFormat="1" applyFont="1" applyFill="1" applyBorder="1" applyAlignment="1">
      <alignment horizontal="right" vertical="center" wrapText="1"/>
    </xf>
    <xf numFmtId="1" fontId="139" fillId="0" borderId="115" xfId="0" applyNumberFormat="1" applyFont="1" applyFill="1" applyBorder="1" applyAlignment="1">
      <alignment horizontal="right"/>
    </xf>
    <xf numFmtId="1" fontId="136" fillId="0" borderId="115" xfId="0" applyNumberFormat="1" applyFont="1" applyFill="1" applyBorder="1"/>
    <xf numFmtId="164" fontId="140" fillId="0" borderId="0" xfId="4" applyNumberFormat="1" applyFont="1" applyFill="1" applyAlignment="1">
      <alignment horizontal="left" vertical="center" readingOrder="1"/>
    </xf>
    <xf numFmtId="1" fontId="34" fillId="9" borderId="0" xfId="0" applyNumberFormat="1" applyFont="1" applyFill="1" applyBorder="1" applyAlignment="1">
      <alignment horizontal="center" vertical="center" wrapText="1"/>
    </xf>
    <xf numFmtId="1" fontId="105" fillId="9" borderId="0" xfId="0" applyNumberFormat="1" applyFont="1" applyFill="1" applyBorder="1" applyAlignment="1">
      <alignment vertical="top" wrapText="1"/>
    </xf>
    <xf numFmtId="164" fontId="65" fillId="34" borderId="14" xfId="4" applyNumberFormat="1" applyFont="1" applyFill="1" applyBorder="1" applyAlignment="1">
      <alignment horizontal="left" vertical="center" wrapText="1" readingOrder="1"/>
    </xf>
    <xf numFmtId="0" fontId="141" fillId="0" borderId="0" xfId="0" applyFont="1"/>
    <xf numFmtId="0" fontId="142" fillId="0" borderId="0" xfId="0" applyFont="1"/>
    <xf numFmtId="0" fontId="82" fillId="51" borderId="142" xfId="0" applyFont="1" applyFill="1" applyBorder="1" applyAlignment="1">
      <alignment wrapText="1"/>
    </xf>
    <xf numFmtId="0" fontId="34" fillId="8" borderId="80" xfId="0" applyFont="1" applyFill="1" applyBorder="1" applyAlignment="1">
      <alignment horizontal="center" vertical="center" wrapText="1"/>
    </xf>
    <xf numFmtId="0" fontId="26" fillId="56" borderId="4" xfId="22" applyFont="1" applyFill="1" applyBorder="1" applyAlignment="1">
      <alignment vertical="top" wrapText="1"/>
    </xf>
    <xf numFmtId="0" fontId="26" fillId="34" borderId="4" xfId="22" applyFont="1" applyFill="1" applyBorder="1" applyAlignment="1">
      <alignment vertical="top" wrapText="1"/>
    </xf>
    <xf numFmtId="0" fontId="143" fillId="0" borderId="0" xfId="19" applyFont="1" applyAlignment="1">
      <alignment horizontal="left" vertical="center" textRotation="90"/>
    </xf>
    <xf numFmtId="0" fontId="144" fillId="16" borderId="66" xfId="22" applyFont="1" applyFill="1" applyBorder="1" applyAlignment="1">
      <alignment horizontal="center" vertical="center" textRotation="90" wrapText="1"/>
    </xf>
    <xf numFmtId="0" fontId="33" fillId="2" borderId="66" xfId="22" applyFont="1" applyFill="1" applyBorder="1" applyAlignment="1">
      <alignment horizontal="left" vertical="center" indent="1" readingOrder="1"/>
    </xf>
    <xf numFmtId="0" fontId="31" fillId="0" borderId="66" xfId="19" applyFont="1" applyBorder="1" applyAlignment="1">
      <alignment horizontal="left" vertical="center" wrapText="1"/>
    </xf>
    <xf numFmtId="0" fontId="33" fillId="14" borderId="66" xfId="22" applyFont="1" applyFill="1" applyBorder="1" applyAlignment="1">
      <alignment horizontal="left" vertical="center" indent="1" readingOrder="1"/>
    </xf>
    <xf numFmtId="0" fontId="33" fillId="38" borderId="66" xfId="22" applyFont="1" applyFill="1" applyBorder="1" applyAlignment="1">
      <alignment horizontal="left" vertical="center" indent="1" readingOrder="1"/>
    </xf>
    <xf numFmtId="0" fontId="33" fillId="9" borderId="66" xfId="22" applyFont="1" applyFill="1" applyBorder="1" applyAlignment="1">
      <alignment horizontal="left" vertical="center" indent="1" readingOrder="1"/>
    </xf>
    <xf numFmtId="0" fontId="33" fillId="16" borderId="66" xfId="22" applyFont="1" applyFill="1" applyBorder="1" applyAlignment="1">
      <alignment horizontal="left" vertical="center" indent="1" readingOrder="1"/>
    </xf>
    <xf numFmtId="0" fontId="144" fillId="45" borderId="0" xfId="22" applyFont="1" applyFill="1" applyAlignment="1">
      <alignment horizontal="left" vertical="center" textRotation="90" readingOrder="1"/>
    </xf>
    <xf numFmtId="0" fontId="33" fillId="45" borderId="0" xfId="22" applyFont="1" applyFill="1" applyAlignment="1">
      <alignment horizontal="left" vertical="center" indent="1" readingOrder="1"/>
    </xf>
    <xf numFmtId="9" fontId="31" fillId="27" borderId="0" xfId="19" applyNumberFormat="1" applyFont="1" applyFill="1" applyAlignment="1">
      <alignment horizontal="left" vertical="center" wrapText="1" readingOrder="1"/>
    </xf>
    <xf numFmtId="0" fontId="31" fillId="47" borderId="0" xfId="19" applyFont="1" applyFill="1" applyAlignment="1">
      <alignment horizontal="left" vertical="center" wrapText="1"/>
    </xf>
    <xf numFmtId="9" fontId="31" fillId="56" borderId="69" xfId="19" applyNumberFormat="1" applyFont="1" applyFill="1" applyBorder="1" applyAlignment="1">
      <alignment horizontal="center" vertical="center" wrapText="1" readingOrder="1"/>
    </xf>
    <xf numFmtId="0" fontId="31" fillId="17" borderId="0" xfId="19" applyFont="1" applyFill="1" applyAlignment="1">
      <alignment horizontal="left" vertical="center"/>
    </xf>
    <xf numFmtId="0" fontId="145" fillId="0" borderId="0" xfId="22" applyFont="1" applyAlignment="1">
      <alignment horizontal="left" vertical="center" textRotation="90"/>
    </xf>
    <xf numFmtId="9" fontId="31" fillId="27" borderId="0" xfId="19" applyNumberFormat="1" applyFont="1" applyFill="1" applyAlignment="1">
      <alignment horizontal="center" vertical="center" wrapText="1" readingOrder="1"/>
    </xf>
    <xf numFmtId="9" fontId="31" fillId="46" borderId="69" xfId="19" applyNumberFormat="1" applyFont="1" applyFill="1" applyBorder="1" applyAlignment="1">
      <alignment horizontal="center" vertical="center" wrapText="1" readingOrder="1"/>
    </xf>
    <xf numFmtId="9" fontId="31" fillId="46" borderId="0" xfId="19" applyNumberFormat="1" applyFont="1" applyFill="1" applyAlignment="1">
      <alignment horizontal="center" vertical="center" wrapText="1" readingOrder="1"/>
    </xf>
    <xf numFmtId="9" fontId="146" fillId="46" borderId="145" xfId="19" applyNumberFormat="1" applyFont="1" applyFill="1" applyBorder="1" applyAlignment="1">
      <alignment horizontal="center" vertical="center" wrapText="1" readingOrder="1"/>
    </xf>
    <xf numFmtId="9" fontId="146" fillId="46" borderId="144" xfId="19" applyNumberFormat="1" applyFont="1" applyFill="1" applyBorder="1" applyAlignment="1">
      <alignment horizontal="center" vertical="center" wrapText="1" readingOrder="1"/>
    </xf>
    <xf numFmtId="0" fontId="33" fillId="56" borderId="0" xfId="22" applyFont="1" applyFill="1" applyAlignment="1">
      <alignment horizontal="center" vertical="center" readingOrder="1"/>
    </xf>
    <xf numFmtId="0" fontId="112" fillId="45" borderId="0" xfId="22" applyFont="1" applyFill="1" applyAlignment="1">
      <alignment horizontal="center" vertical="center" readingOrder="1"/>
    </xf>
    <xf numFmtId="1" fontId="39" fillId="8" borderId="80" xfId="0" applyNumberFormat="1" applyFont="1" applyFill="1" applyBorder="1" applyAlignment="1">
      <alignment horizontal="center" vertical="center" wrapText="1"/>
    </xf>
    <xf numFmtId="0" fontId="112" fillId="18" borderId="80" xfId="0" applyFont="1" applyFill="1" applyBorder="1" applyAlignment="1">
      <alignment vertical="top" wrapText="1"/>
    </xf>
    <xf numFmtId="9" fontId="31" fillId="34" borderId="0" xfId="19" applyNumberFormat="1" applyFont="1" applyFill="1" applyBorder="1" applyAlignment="1">
      <alignment horizontal="center" vertical="center" wrapText="1" readingOrder="1"/>
    </xf>
    <xf numFmtId="9" fontId="123" fillId="16" borderId="0" xfId="19" applyNumberFormat="1" applyFont="1" applyFill="1" applyBorder="1" applyAlignment="1">
      <alignment horizontal="center" vertical="center" wrapText="1" readingOrder="1"/>
    </xf>
    <xf numFmtId="164" fontId="65" fillId="34" borderId="0" xfId="4" applyNumberFormat="1" applyFont="1" applyFill="1" applyBorder="1" applyAlignment="1">
      <alignment horizontal="center" vertical="center" wrapText="1" readingOrder="1"/>
    </xf>
    <xf numFmtId="164" fontId="66" fillId="17" borderId="29" xfId="4" applyNumberFormat="1" applyFont="1" applyFill="1" applyBorder="1" applyAlignment="1">
      <alignment vertical="center" wrapText="1"/>
    </xf>
    <xf numFmtId="0" fontId="116" fillId="56" borderId="23" xfId="0" applyFont="1" applyFill="1" applyBorder="1" applyAlignment="1">
      <alignment horizontal="center" vertical="center" wrapText="1"/>
    </xf>
    <xf numFmtId="0" fontId="116" fillId="2" borderId="23" xfId="0" applyFont="1" applyFill="1" applyBorder="1" applyAlignment="1">
      <alignment horizontal="center" vertical="center" wrapText="1"/>
    </xf>
    <xf numFmtId="164" fontId="66" fillId="2" borderId="23" xfId="0" applyNumberFormat="1" applyFont="1" applyFill="1" applyBorder="1" applyAlignment="1">
      <alignment vertical="center"/>
    </xf>
    <xf numFmtId="164" fontId="116" fillId="56" borderId="23" xfId="0" applyNumberFormat="1" applyFont="1" applyFill="1" applyBorder="1" applyAlignment="1">
      <alignment vertical="center"/>
    </xf>
    <xf numFmtId="164" fontId="148"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6" fillId="17" borderId="29" xfId="4" applyNumberFormat="1" applyFont="1" applyFill="1" applyBorder="1" applyAlignment="1">
      <alignment horizontal="center" vertical="center"/>
    </xf>
    <xf numFmtId="164" fontId="131" fillId="17" borderId="141" xfId="4" applyNumberFormat="1" applyFont="1" applyFill="1" applyBorder="1" applyAlignment="1">
      <alignment horizontal="center" vertical="center"/>
    </xf>
    <xf numFmtId="0" fontId="133" fillId="0" borderId="121" xfId="0" applyFont="1" applyBorder="1" applyAlignment="1"/>
    <xf numFmtId="164" fontId="80" fillId="0" borderId="42" xfId="4" applyNumberFormat="1" applyFont="1" applyBorder="1"/>
    <xf numFmtId="0" fontId="8" fillId="0" borderId="0" xfId="0" applyFont="1"/>
    <xf numFmtId="164" fontId="0" fillId="0" borderId="0" xfId="0" applyNumberFormat="1"/>
    <xf numFmtId="0" fontId="34" fillId="8" borderId="73" xfId="0" applyFont="1" applyFill="1" applyBorder="1" applyAlignment="1">
      <alignment horizontal="center" vertical="center" wrapText="1"/>
    </xf>
    <xf numFmtId="0" fontId="7" fillId="17" borderId="28" xfId="0" applyFont="1" applyFill="1" applyBorder="1"/>
    <xf numFmtId="0" fontId="0" fillId="0" borderId="0" xfId="0" applyAlignment="1">
      <alignment horizontal="left"/>
    </xf>
    <xf numFmtId="0" fontId="23" fillId="37" borderId="71" xfId="22" applyNumberFormat="1" applyFont="1" applyFill="1" applyBorder="1" applyAlignment="1">
      <alignment horizontal="center" vertical="center"/>
    </xf>
    <xf numFmtId="9" fontId="23" fillId="9" borderId="70" xfId="1" applyFont="1" applyFill="1" applyBorder="1" applyAlignment="1">
      <alignment horizontal="center" vertical="center"/>
    </xf>
    <xf numFmtId="9" fontId="31" fillId="11" borderId="66" xfId="1" applyFont="1" applyFill="1" applyBorder="1" applyAlignment="1">
      <alignment horizontal="center" vertical="center" wrapText="1" readingOrder="1"/>
    </xf>
    <xf numFmtId="9" fontId="23" fillId="9" borderId="67" xfId="1" applyFont="1" applyFill="1" applyBorder="1" applyAlignment="1">
      <alignment horizontal="center" vertical="center" wrapText="1"/>
    </xf>
    <xf numFmtId="9" fontId="65" fillId="11" borderId="14" xfId="1" applyFont="1" applyFill="1" applyBorder="1" applyAlignment="1">
      <alignment horizontal="center" vertical="center" wrapText="1"/>
    </xf>
    <xf numFmtId="0" fontId="149" fillId="0" borderId="0" xfId="0" pivotButton="1" applyFont="1"/>
    <xf numFmtId="0" fontId="149" fillId="0" borderId="0" xfId="0" applyFont="1"/>
    <xf numFmtId="0" fontId="149" fillId="0" borderId="0" xfId="0" applyFont="1" applyAlignment="1">
      <alignment horizontal="left"/>
    </xf>
    <xf numFmtId="0" fontId="149" fillId="0" borderId="0" xfId="0" applyNumberFormat="1" applyFont="1"/>
    <xf numFmtId="0" fontId="98" fillId="16" borderId="73" xfId="0" applyFont="1" applyFill="1" applyBorder="1" applyAlignment="1">
      <alignment vertical="top" wrapText="1"/>
    </xf>
    <xf numFmtId="164" fontId="65" fillId="34" borderId="14" xfId="4" applyNumberFormat="1" applyFont="1" applyFill="1" applyBorder="1" applyAlignment="1">
      <alignment horizontal="left" vertical="center" readingOrder="1"/>
    </xf>
    <xf numFmtId="164" fontId="0" fillId="0" borderId="0" xfId="4" applyNumberFormat="1" applyFont="1"/>
    <xf numFmtId="0" fontId="73" fillId="13" borderId="149" xfId="0" applyFont="1" applyFill="1" applyBorder="1" applyAlignment="1">
      <alignment horizontal="center" vertical="center" wrapText="1"/>
    </xf>
    <xf numFmtId="164" fontId="116" fillId="17" borderId="141" xfId="4" applyNumberFormat="1" applyFont="1" applyFill="1" applyBorder="1" applyAlignment="1">
      <alignment horizontal="center" vertical="center"/>
    </xf>
    <xf numFmtId="164" fontId="116" fillId="12" borderId="141" xfId="4" applyNumberFormat="1" applyFont="1" applyFill="1" applyBorder="1" applyAlignment="1">
      <alignment horizontal="center" vertical="center"/>
    </xf>
    <xf numFmtId="0" fontId="74" fillId="13" borderId="150" xfId="0" applyFont="1" applyFill="1" applyBorder="1" applyAlignment="1">
      <alignment horizontal="center" vertical="center" wrapText="1"/>
    </xf>
    <xf numFmtId="9" fontId="116" fillId="12" borderId="151" xfId="1" applyFont="1" applyFill="1" applyBorder="1" applyAlignment="1">
      <alignment horizontal="center" vertical="center"/>
    </xf>
    <xf numFmtId="0" fontId="131" fillId="45" borderId="153" xfId="0" applyFont="1" applyFill="1" applyBorder="1" applyAlignment="1">
      <alignment horizontal="center" vertical="center" wrapText="1"/>
    </xf>
    <xf numFmtId="0" fontId="131" fillId="45" borderId="154" xfId="0" applyFont="1" applyFill="1" applyBorder="1" applyAlignment="1">
      <alignment horizontal="center" vertical="center" wrapText="1"/>
    </xf>
    <xf numFmtId="0" fontId="84" fillId="26" borderId="154" xfId="0" applyFont="1" applyFill="1" applyBorder="1" applyAlignment="1">
      <alignment horizontal="center" vertical="center" wrapText="1"/>
    </xf>
    <xf numFmtId="164" fontId="84" fillId="26" borderId="34" xfId="4" applyNumberFormat="1" applyFont="1" applyFill="1" applyBorder="1" applyAlignment="1">
      <alignment horizontal="center" vertical="center"/>
    </xf>
    <xf numFmtId="9" fontId="67" fillId="0" borderId="65" xfId="1" applyNumberFormat="1" applyFont="1" applyFill="1" applyBorder="1" applyAlignment="1">
      <alignment horizontal="center" vertical="center"/>
    </xf>
    <xf numFmtId="0" fontId="150" fillId="0" borderId="0" xfId="0" applyFont="1"/>
    <xf numFmtId="0" fontId="41" fillId="18" borderId="75" xfId="0" applyFont="1" applyFill="1" applyBorder="1" applyAlignment="1">
      <alignment vertical="top" wrapText="1"/>
    </xf>
    <xf numFmtId="164" fontId="74" fillId="0" borderId="4" xfId="4" applyNumberFormat="1" applyFont="1" applyBorder="1"/>
    <xf numFmtId="0" fontId="151" fillId="0" borderId="0" xfId="0" applyFont="1"/>
    <xf numFmtId="164" fontId="66" fillId="57" borderId="29" xfId="4" applyNumberFormat="1" applyFont="1" applyFill="1" applyBorder="1" applyAlignment="1">
      <alignment vertical="center" wrapText="1"/>
    </xf>
    <xf numFmtId="9" fontId="66" fillId="57" borderId="29" xfId="1" applyFont="1" applyFill="1" applyBorder="1" applyAlignment="1">
      <alignment horizontal="center" vertical="center" wrapText="1"/>
    </xf>
    <xf numFmtId="164" fontId="66" fillId="11" borderId="29" xfId="4" applyNumberFormat="1" applyFont="1" applyFill="1" applyBorder="1" applyAlignment="1">
      <alignment vertical="center" wrapText="1"/>
    </xf>
    <xf numFmtId="9" fontId="66" fillId="11" borderId="29" xfId="1" applyFont="1" applyFill="1" applyBorder="1" applyAlignment="1">
      <alignment horizontal="center" vertical="center" wrapText="1"/>
    </xf>
    <xf numFmtId="164" fontId="66" fillId="7" borderId="29" xfId="4" applyNumberFormat="1" applyFont="1" applyFill="1" applyBorder="1" applyAlignment="1">
      <alignment vertical="center" wrapText="1"/>
    </xf>
    <xf numFmtId="9" fontId="66" fillId="7" borderId="29" xfId="1" applyFont="1" applyFill="1" applyBorder="1" applyAlignment="1">
      <alignment horizontal="center" vertical="center" wrapText="1"/>
    </xf>
    <xf numFmtId="164" fontId="66" fillId="10" borderId="29" xfId="4" applyNumberFormat="1" applyFont="1" applyFill="1" applyBorder="1" applyAlignment="1">
      <alignment vertical="center" wrapText="1"/>
    </xf>
    <xf numFmtId="0" fontId="72" fillId="14" borderId="23" xfId="0" applyFont="1" applyFill="1" applyBorder="1" applyAlignment="1">
      <alignment horizontal="center" vertical="center"/>
    </xf>
    <xf numFmtId="0" fontId="72" fillId="8" borderId="23" xfId="0" applyFont="1" applyFill="1" applyBorder="1" applyAlignment="1">
      <alignment horizontal="center" vertical="center"/>
    </xf>
    <xf numFmtId="0" fontId="72" fillId="9" borderId="23" xfId="0" applyFont="1" applyFill="1" applyBorder="1" applyAlignment="1">
      <alignment horizontal="center" vertical="center"/>
    </xf>
    <xf numFmtId="0" fontId="152" fillId="56" borderId="23" xfId="0" applyFont="1" applyFill="1" applyBorder="1" applyAlignment="1">
      <alignment horizontal="center" vertical="center"/>
    </xf>
    <xf numFmtId="0" fontId="152" fillId="16" borderId="23" xfId="0" applyFont="1" applyFill="1" applyBorder="1" applyAlignment="1">
      <alignment horizontal="center" vertical="center"/>
    </xf>
    <xf numFmtId="0" fontId="116" fillId="12" borderId="23" xfId="0" applyFont="1" applyFill="1" applyBorder="1" applyAlignment="1">
      <alignment horizontal="center" vertical="center" wrapText="1"/>
    </xf>
    <xf numFmtId="0" fontId="152" fillId="0" borderId="23" xfId="0" applyFont="1" applyBorder="1" applyAlignment="1">
      <alignment wrapText="1"/>
    </xf>
    <xf numFmtId="0" fontId="136" fillId="58" borderId="82" xfId="0" applyFont="1" applyFill="1" applyBorder="1"/>
    <xf numFmtId="0" fontId="136" fillId="58" borderId="114" xfId="0" applyFont="1" applyFill="1" applyBorder="1" applyAlignment="1">
      <alignment horizontal="left"/>
    </xf>
    <xf numFmtId="9" fontId="16" fillId="34" borderId="0" xfId="0" applyNumberFormat="1" applyFont="1" applyFill="1"/>
    <xf numFmtId="9" fontId="153" fillId="0" borderId="0" xfId="0" applyNumberFormat="1" applyFont="1"/>
    <xf numFmtId="0" fontId="153" fillId="0" borderId="0" xfId="0" applyFont="1"/>
    <xf numFmtId="0" fontId="6" fillId="0" borderId="0" xfId="0" applyFont="1"/>
    <xf numFmtId="9" fontId="154" fillId="50" borderId="116" xfId="0" applyNumberFormat="1" applyFont="1" applyFill="1" applyBorder="1"/>
    <xf numFmtId="9" fontId="154" fillId="50" borderId="115" xfId="0" applyNumberFormat="1" applyFont="1" applyFill="1" applyBorder="1"/>
    <xf numFmtId="9" fontId="154" fillId="58" borderId="116" xfId="0" applyNumberFormat="1" applyFont="1" applyFill="1" applyBorder="1"/>
    <xf numFmtId="9" fontId="154" fillId="58" borderId="115" xfId="0" applyNumberFormat="1" applyFont="1" applyFill="1" applyBorder="1"/>
    <xf numFmtId="0" fontId="5" fillId="0" borderId="0" xfId="0" applyFont="1"/>
    <xf numFmtId="0" fontId="4" fillId="17" borderId="28" xfId="0" applyFont="1" applyFill="1" applyBorder="1"/>
    <xf numFmtId="0" fontId="66" fillId="0" borderId="0" xfId="0" applyFont="1" applyFill="1" applyBorder="1" applyAlignment="1">
      <alignment horizontal="center" vertical="center"/>
    </xf>
    <xf numFmtId="0" fontId="72" fillId="14" borderId="102" xfId="0" applyFont="1" applyFill="1" applyBorder="1" applyAlignment="1">
      <alignment horizontal="center" vertical="center" wrapText="1"/>
    </xf>
    <xf numFmtId="0" fontId="116" fillId="12" borderId="102" xfId="0" applyFont="1" applyFill="1" applyBorder="1" applyAlignment="1">
      <alignment horizontal="center" vertical="top" wrapText="1"/>
    </xf>
    <xf numFmtId="0" fontId="72" fillId="36" borderId="102" xfId="0" applyFont="1" applyFill="1" applyBorder="1" applyAlignment="1">
      <alignment horizontal="center" vertical="top" wrapText="1"/>
    </xf>
    <xf numFmtId="0" fontId="72" fillId="8" borderId="102" xfId="0" applyFont="1" applyFill="1" applyBorder="1" applyAlignment="1">
      <alignment horizontal="center" vertical="top" wrapText="1"/>
    </xf>
    <xf numFmtId="0" fontId="26" fillId="16" borderId="4" xfId="22" applyFont="1" applyFill="1" applyBorder="1" applyAlignment="1">
      <alignment horizontal="center" vertical="center" wrapText="1"/>
    </xf>
    <xf numFmtId="0" fontId="26" fillId="56" borderId="147" xfId="22" applyFont="1" applyFill="1" applyBorder="1" applyAlignment="1">
      <alignment horizontal="center" vertical="top" wrapText="1"/>
    </xf>
    <xf numFmtId="164" fontId="66" fillId="0" borderId="0" xfId="0" applyNumberFormat="1" applyFont="1" applyAlignment="1">
      <alignment horizontal="center" vertical="center"/>
    </xf>
    <xf numFmtId="9" fontId="98" fillId="26" borderId="148" xfId="19" applyNumberFormat="1" applyFont="1" applyFill="1" applyBorder="1" applyAlignment="1">
      <alignment horizontal="center" vertical="center" wrapText="1" readingOrder="1"/>
    </xf>
    <xf numFmtId="9" fontId="65" fillId="46" borderId="145" xfId="19" applyNumberFormat="1" applyFont="1" applyFill="1" applyBorder="1" applyAlignment="1">
      <alignment horizontal="center" vertical="center" wrapText="1" readingOrder="1"/>
    </xf>
    <xf numFmtId="9" fontId="65" fillId="46" borderId="144" xfId="19" applyNumberFormat="1" applyFont="1" applyFill="1" applyBorder="1" applyAlignment="1">
      <alignment horizontal="center" vertical="center" wrapText="1" readingOrder="1"/>
    </xf>
    <xf numFmtId="0" fontId="81" fillId="0" borderId="157" xfId="0" applyFont="1" applyBorder="1"/>
    <xf numFmtId="0" fontId="81" fillId="0" borderId="158" xfId="0" applyFont="1" applyBorder="1" applyAlignment="1">
      <alignment horizontal="left"/>
    </xf>
    <xf numFmtId="0" fontId="81" fillId="0" borderId="156" xfId="0" applyFont="1" applyBorder="1" applyAlignment="1">
      <alignment horizontal="left"/>
    </xf>
    <xf numFmtId="164" fontId="81" fillId="0" borderId="158" xfId="0" applyNumberFormat="1" applyFont="1" applyBorder="1"/>
    <xf numFmtId="9" fontId="135" fillId="58" borderId="115" xfId="0" applyNumberFormat="1" applyFont="1" applyFill="1" applyBorder="1"/>
    <xf numFmtId="164" fontId="66" fillId="57" borderId="141" xfId="4" applyNumberFormat="1" applyFont="1" applyFill="1" applyBorder="1" applyAlignment="1">
      <alignment vertical="center" wrapText="1"/>
    </xf>
    <xf numFmtId="9" fontId="66" fillId="7" borderId="159" xfId="1" applyFont="1" applyFill="1" applyBorder="1" applyAlignment="1">
      <alignment horizontal="center" vertical="center" wrapText="1"/>
    </xf>
    <xf numFmtId="9" fontId="66" fillId="11" borderId="159" xfId="1" applyFont="1" applyFill="1" applyBorder="1" applyAlignment="1">
      <alignment horizontal="center" vertical="center" wrapText="1"/>
    </xf>
    <xf numFmtId="0" fontId="3" fillId="0" borderId="58" xfId="0" applyFont="1" applyBorder="1" applyAlignment="1">
      <alignment vertical="center" wrapText="1"/>
    </xf>
    <xf numFmtId="9" fontId="116" fillId="17" borderId="152" xfId="1" applyFont="1" applyFill="1" applyBorder="1" applyAlignment="1">
      <alignment horizontal="center" vertical="center"/>
    </xf>
    <xf numFmtId="9" fontId="116" fillId="17" borderId="141" xfId="1" applyFont="1" applyFill="1" applyBorder="1" applyAlignment="1">
      <alignment horizontal="center" vertical="center"/>
    </xf>
    <xf numFmtId="9" fontId="66" fillId="57" borderId="159" xfId="1" applyFont="1" applyFill="1" applyBorder="1" applyAlignment="1">
      <alignment vertical="center" wrapText="1"/>
    </xf>
    <xf numFmtId="0" fontId="155" fillId="0" borderId="0" xfId="0" applyFont="1"/>
    <xf numFmtId="164" fontId="156" fillId="0" borderId="158" xfId="0" applyNumberFormat="1" applyFont="1" applyBorder="1"/>
    <xf numFmtId="164" fontId="156" fillId="0" borderId="156" xfId="0" applyNumberFormat="1" applyFont="1" applyBorder="1"/>
    <xf numFmtId="0" fontId="33" fillId="56" borderId="0" xfId="22" applyFont="1" applyFill="1" applyAlignment="1">
      <alignment horizontal="center" vertical="center" readingOrder="1"/>
    </xf>
    <xf numFmtId="1" fontId="40" fillId="9" borderId="73" xfId="1" applyNumberFormat="1" applyFont="1" applyFill="1" applyBorder="1" applyAlignment="1">
      <alignment horizontal="left" vertical="top"/>
    </xf>
    <xf numFmtId="1" fontId="60" fillId="7" borderId="66" xfId="19" applyNumberFormat="1" applyFont="1" applyFill="1" applyBorder="1" applyAlignment="1">
      <alignment horizontal="left" vertical="center" wrapText="1" readingOrder="1"/>
    </xf>
    <xf numFmtId="0" fontId="60" fillId="28" borderId="66" xfId="19" applyFont="1" applyFill="1" applyBorder="1" applyAlignment="1">
      <alignment horizontal="left" vertical="center" wrapText="1"/>
    </xf>
    <xf numFmtId="0" fontId="60" fillId="11" borderId="66" xfId="20" applyNumberFormat="1" applyFont="1" applyFill="1" applyBorder="1" applyAlignment="1">
      <alignment horizontal="left" vertical="center" wrapText="1" readingOrder="1"/>
    </xf>
    <xf numFmtId="9" fontId="80" fillId="0" borderId="42" xfId="1" applyFont="1" applyBorder="1"/>
    <xf numFmtId="9" fontId="155" fillId="0" borderId="0" xfId="0" applyNumberFormat="1" applyFont="1"/>
    <xf numFmtId="9" fontId="66" fillId="0" borderId="0" xfId="1" applyFont="1"/>
    <xf numFmtId="0" fontId="16" fillId="0" borderId="0" xfId="0" pivotButton="1" applyFont="1" applyAlignment="1">
      <alignment wrapText="1"/>
    </xf>
    <xf numFmtId="167" fontId="157" fillId="0" borderId="0" xfId="0" applyNumberFormat="1" applyFont="1" applyFill="1" applyAlignment="1">
      <alignment horizontal="left" vertical="center" readingOrder="1"/>
    </xf>
    <xf numFmtId="0" fontId="157" fillId="0" borderId="0" xfId="0" applyFont="1" applyFill="1" applyAlignment="1">
      <alignment horizontal="left" vertical="center" readingOrder="1"/>
    </xf>
    <xf numFmtId="0" fontId="157" fillId="0" borderId="0" xfId="1" applyNumberFormat="1" applyFont="1" applyFill="1" applyAlignment="1">
      <alignment horizontal="left" vertical="center" readingOrder="1"/>
    </xf>
    <xf numFmtId="164" fontId="157" fillId="0" borderId="0" xfId="4" applyNumberFormat="1" applyFont="1" applyFill="1" applyAlignment="1">
      <alignment horizontal="left" vertical="center" readingOrder="1"/>
    </xf>
    <xf numFmtId="168" fontId="157" fillId="0" borderId="0" xfId="0" applyNumberFormat="1" applyFont="1" applyFill="1" applyAlignment="1">
      <alignment horizontal="left" vertical="center" readingOrder="1"/>
    </xf>
    <xf numFmtId="165" fontId="157" fillId="0" borderId="0" xfId="0" applyNumberFormat="1" applyFont="1" applyFill="1" applyAlignment="1">
      <alignment horizontal="left" vertical="center" readingOrder="1"/>
    </xf>
    <xf numFmtId="9" fontId="157" fillId="0" borderId="0" xfId="1" applyFont="1" applyFill="1" applyAlignment="1">
      <alignment horizontal="left" vertical="center" readingOrder="1"/>
    </xf>
    <xf numFmtId="49" fontId="157" fillId="0" borderId="0" xfId="4" applyNumberFormat="1" applyFont="1" applyFill="1" applyAlignment="1">
      <alignment horizontal="left" vertical="center" readingOrder="1"/>
    </xf>
    <xf numFmtId="49" fontId="157" fillId="0" borderId="0" xfId="1" applyNumberFormat="1" applyFont="1" applyFill="1" applyAlignment="1">
      <alignment horizontal="left" vertical="center" readingOrder="1"/>
    </xf>
    <xf numFmtId="49" fontId="157" fillId="0" borderId="0" xfId="0" applyNumberFormat="1" applyFont="1" applyFill="1" applyAlignment="1">
      <alignment horizontal="left" vertical="center" readingOrder="1"/>
    </xf>
    <xf numFmtId="9" fontId="157" fillId="0" borderId="0" xfId="1" applyNumberFormat="1" applyFont="1" applyFill="1" applyAlignment="1">
      <alignment horizontal="left" vertical="center" readingOrder="1"/>
    </xf>
    <xf numFmtId="1" fontId="157" fillId="0" borderId="0" xfId="1" applyNumberFormat="1" applyFont="1" applyFill="1" applyAlignment="1">
      <alignment horizontal="left" vertical="center" readingOrder="1"/>
    </xf>
    <xf numFmtId="164" fontId="157" fillId="0" borderId="0" xfId="0" applyNumberFormat="1" applyFont="1" applyFill="1" applyAlignment="1">
      <alignment horizontal="left" vertical="center" readingOrder="1"/>
    </xf>
    <xf numFmtId="1" fontId="157" fillId="0" borderId="0" xfId="0" applyNumberFormat="1" applyFont="1" applyFill="1" applyAlignment="1">
      <alignment horizontal="left" vertical="center" readingOrder="1"/>
    </xf>
    <xf numFmtId="9" fontId="157" fillId="0" borderId="0" xfId="0" applyNumberFormat="1" applyFont="1" applyFill="1" applyAlignment="1">
      <alignment horizontal="left" vertical="center" readingOrder="1"/>
    </xf>
    <xf numFmtId="0" fontId="157" fillId="0" borderId="0" xfId="0" applyNumberFormat="1" applyFont="1" applyFill="1" applyAlignment="1">
      <alignment horizontal="left" vertical="center" readingOrder="1"/>
    </xf>
    <xf numFmtId="49" fontId="157" fillId="0" borderId="0" xfId="0" applyNumberFormat="1" applyFont="1" applyAlignment="1">
      <alignment horizontal="left" vertical="center" readingOrder="1"/>
    </xf>
    <xf numFmtId="0" fontId="131" fillId="59" borderId="154" xfId="0" applyFont="1" applyFill="1" applyBorder="1" applyAlignment="1">
      <alignment horizontal="center" vertical="center" wrapText="1"/>
    </xf>
    <xf numFmtId="164" fontId="131" fillId="10" borderId="29" xfId="4" applyNumberFormat="1" applyFont="1" applyFill="1" applyBorder="1" applyAlignment="1">
      <alignment vertical="center" wrapText="1"/>
    </xf>
    <xf numFmtId="164" fontId="131" fillId="7" borderId="29" xfId="4" applyNumberFormat="1" applyFont="1" applyFill="1" applyBorder="1" applyAlignment="1">
      <alignment vertical="center" wrapText="1"/>
    </xf>
    <xf numFmtId="164" fontId="131" fillId="11" borderId="29" xfId="4" applyNumberFormat="1" applyFont="1" applyFill="1" applyBorder="1" applyAlignment="1">
      <alignment vertical="center" wrapText="1"/>
    </xf>
    <xf numFmtId="0" fontId="33" fillId="56" borderId="0" xfId="22" applyFont="1" applyFill="1" applyAlignment="1">
      <alignment horizontal="center" vertical="center" readingOrder="1"/>
    </xf>
    <xf numFmtId="0" fontId="31" fillId="38" borderId="163" xfId="0" applyFont="1" applyFill="1" applyBorder="1" applyAlignment="1">
      <alignment horizontal="center" vertical="center" wrapText="1"/>
    </xf>
    <xf numFmtId="168" fontId="24" fillId="0" borderId="0" xfId="4" applyNumberFormat="1" applyFont="1" applyFill="1" applyAlignment="1">
      <alignment horizontal="left" vertical="center" readingOrder="1"/>
    </xf>
    <xf numFmtId="0" fontId="33" fillId="60" borderId="163" xfId="0" applyFont="1" applyFill="1" applyBorder="1" applyAlignment="1">
      <alignment vertical="top" wrapText="1"/>
    </xf>
    <xf numFmtId="0" fontId="33" fillId="38" borderId="0" xfId="0" applyFont="1" applyFill="1" applyAlignment="1">
      <alignment horizontal="center" vertical="center" wrapText="1"/>
    </xf>
    <xf numFmtId="43" fontId="24" fillId="0" borderId="0" xfId="4" applyFont="1" applyFill="1" applyAlignment="1">
      <alignment horizontal="left" vertical="center" readingOrder="1"/>
    </xf>
    <xf numFmtId="0" fontId="146" fillId="60" borderId="163" xfId="0" applyFont="1" applyFill="1" applyBorder="1" applyAlignment="1">
      <alignment vertical="top" wrapText="1"/>
    </xf>
    <xf numFmtId="0" fontId="31" fillId="38" borderId="0" xfId="0" applyFont="1" applyFill="1" applyAlignment="1">
      <alignment horizontal="center" vertical="center" wrapText="1"/>
    </xf>
    <xf numFmtId="0" fontId="31" fillId="60" borderId="163" xfId="0" applyFont="1" applyFill="1" applyBorder="1" applyAlignment="1">
      <alignment vertical="top" wrapText="1"/>
    </xf>
    <xf numFmtId="164" fontId="131" fillId="17" borderId="167" xfId="4" applyNumberFormat="1" applyFont="1" applyFill="1" applyBorder="1" applyAlignment="1">
      <alignment horizontal="center" vertical="center"/>
    </xf>
    <xf numFmtId="167" fontId="158" fillId="0" borderId="0" xfId="0" applyNumberFormat="1" applyFont="1" applyFill="1" applyAlignment="1">
      <alignment horizontal="left" vertical="center" readingOrder="1"/>
    </xf>
    <xf numFmtId="0" fontId="158" fillId="0" borderId="0" xfId="0" applyFont="1" applyFill="1" applyAlignment="1">
      <alignment horizontal="left" vertical="center" readingOrder="1"/>
    </xf>
    <xf numFmtId="0" fontId="158" fillId="0" borderId="0" xfId="1" applyNumberFormat="1" applyFont="1" applyFill="1" applyAlignment="1">
      <alignment horizontal="left" vertical="center" readingOrder="1"/>
    </xf>
    <xf numFmtId="164" fontId="158" fillId="0" borderId="0" xfId="4" applyNumberFormat="1" applyFont="1" applyFill="1" applyAlignment="1">
      <alignment horizontal="left" vertical="center" readingOrder="1"/>
    </xf>
    <xf numFmtId="168" fontId="158" fillId="0" borderId="0" xfId="0" applyNumberFormat="1" applyFont="1" applyFill="1" applyAlignment="1">
      <alignment horizontal="left" vertical="center" readingOrder="1"/>
    </xf>
    <xf numFmtId="165" fontId="158" fillId="0" borderId="0" xfId="0" applyNumberFormat="1" applyFont="1" applyFill="1" applyAlignment="1">
      <alignment horizontal="left" vertical="center" readingOrder="1"/>
    </xf>
    <xf numFmtId="9" fontId="158" fillId="0" borderId="0" xfId="1" applyFont="1" applyFill="1" applyAlignment="1">
      <alignment horizontal="left" vertical="center" readingOrder="1"/>
    </xf>
    <xf numFmtId="49" fontId="158" fillId="0" borderId="0" xfId="4" applyNumberFormat="1" applyFont="1" applyFill="1" applyAlignment="1">
      <alignment horizontal="left" vertical="center" readingOrder="1"/>
    </xf>
    <xf numFmtId="49" fontId="158" fillId="0" borderId="0" xfId="1" applyNumberFormat="1" applyFont="1" applyFill="1" applyAlignment="1">
      <alignment horizontal="left" vertical="center" readingOrder="1"/>
    </xf>
    <xf numFmtId="49" fontId="158" fillId="0" borderId="0" xfId="0" applyNumberFormat="1" applyFont="1" applyFill="1" applyAlignment="1">
      <alignment horizontal="left" vertical="center" readingOrder="1"/>
    </xf>
    <xf numFmtId="9" fontId="158" fillId="0" borderId="0" xfId="1" applyNumberFormat="1" applyFont="1" applyFill="1" applyAlignment="1">
      <alignment horizontal="left" vertical="center" readingOrder="1"/>
    </xf>
    <xf numFmtId="1" fontId="158" fillId="0" borderId="0" xfId="1" applyNumberFormat="1" applyFont="1" applyFill="1" applyAlignment="1">
      <alignment horizontal="left" vertical="center" readingOrder="1"/>
    </xf>
    <xf numFmtId="164" fontId="158" fillId="0" borderId="0" xfId="0" applyNumberFormat="1" applyFont="1" applyFill="1" applyAlignment="1">
      <alignment horizontal="left" vertical="center" readingOrder="1"/>
    </xf>
    <xf numFmtId="1" fontId="158" fillId="0" borderId="0" xfId="0" applyNumberFormat="1" applyFont="1" applyFill="1" applyAlignment="1">
      <alignment horizontal="left" vertical="center" readingOrder="1"/>
    </xf>
    <xf numFmtId="9" fontId="158" fillId="0" borderId="0" xfId="0" applyNumberFormat="1" applyFont="1" applyFill="1" applyAlignment="1">
      <alignment horizontal="left" vertical="center" readingOrder="1"/>
    </xf>
    <xf numFmtId="0" fontId="158" fillId="0" borderId="0" xfId="0" applyNumberFormat="1" applyFont="1" applyFill="1" applyAlignment="1">
      <alignment horizontal="left" vertical="center" readingOrder="1"/>
    </xf>
    <xf numFmtId="0" fontId="131" fillId="45" borderId="103" xfId="0" applyFont="1" applyFill="1" applyBorder="1" applyAlignment="1">
      <alignment vertical="center" wrapText="1"/>
    </xf>
    <xf numFmtId="0" fontId="131" fillId="45" borderId="0" xfId="0" applyFont="1" applyFill="1" applyBorder="1" applyAlignment="1">
      <alignment vertical="center" wrapText="1"/>
    </xf>
    <xf numFmtId="164" fontId="131" fillId="12" borderId="168" xfId="4" applyNumberFormat="1" applyFont="1" applyFill="1" applyBorder="1" applyAlignment="1">
      <alignment vertical="center"/>
    </xf>
    <xf numFmtId="164" fontId="67" fillId="7" borderId="160" xfId="4" applyNumberFormat="1" applyFont="1" applyFill="1" applyBorder="1" applyAlignment="1">
      <alignment vertical="center" wrapText="1"/>
    </xf>
    <xf numFmtId="164" fontId="131" fillId="12" borderId="29" xfId="4" applyNumberFormat="1" applyFont="1" applyFill="1" applyBorder="1" applyAlignment="1">
      <alignment vertical="center"/>
    </xf>
    <xf numFmtId="164" fontId="131" fillId="12" borderId="141" xfId="4" applyNumberFormat="1" applyFont="1" applyFill="1" applyBorder="1" applyAlignment="1">
      <alignment vertical="center"/>
    </xf>
    <xf numFmtId="164" fontId="84" fillId="26" borderId="162" xfId="4" applyNumberFormat="1" applyFont="1" applyFill="1" applyBorder="1" applyAlignment="1">
      <alignment horizontal="center" vertical="center"/>
    </xf>
    <xf numFmtId="164" fontId="74" fillId="7" borderId="29" xfId="4" applyNumberFormat="1" applyFont="1" applyFill="1" applyBorder="1" applyAlignment="1">
      <alignment vertical="center" wrapText="1"/>
    </xf>
    <xf numFmtId="164" fontId="67" fillId="11" borderId="160" xfId="4" applyNumberFormat="1" applyFont="1" applyFill="1" applyBorder="1" applyAlignment="1">
      <alignment vertical="center" wrapText="1"/>
    </xf>
    <xf numFmtId="164" fontId="74" fillId="11" borderId="29" xfId="4" applyNumberFormat="1" applyFont="1" applyFill="1" applyBorder="1" applyAlignment="1">
      <alignment vertical="center" wrapText="1"/>
    </xf>
    <xf numFmtId="164" fontId="67" fillId="57" borderId="160" xfId="4" applyNumberFormat="1" applyFont="1" applyFill="1" applyBorder="1" applyAlignment="1">
      <alignment vertical="center" wrapText="1"/>
    </xf>
    <xf numFmtId="164" fontId="67" fillId="57" borderId="29" xfId="4" applyNumberFormat="1" applyFont="1" applyFill="1" applyBorder="1" applyAlignment="1">
      <alignment vertical="center" wrapText="1"/>
    </xf>
    <xf numFmtId="164" fontId="131" fillId="17" borderId="155" xfId="4" applyNumberFormat="1" applyFont="1" applyFill="1" applyBorder="1" applyAlignment="1">
      <alignment horizontal="center" vertical="center"/>
    </xf>
    <xf numFmtId="164" fontId="131" fillId="17" borderId="166" xfId="4" applyNumberFormat="1" applyFont="1" applyFill="1" applyBorder="1" applyAlignment="1">
      <alignment horizontal="center" vertical="center"/>
    </xf>
    <xf numFmtId="164" fontId="131" fillId="12" borderId="169" xfId="4" applyNumberFormat="1" applyFont="1" applyFill="1" applyBorder="1" applyAlignment="1">
      <alignment horizontal="center" vertical="center"/>
    </xf>
    <xf numFmtId="164" fontId="74" fillId="12" borderId="34" xfId="4" applyNumberFormat="1" applyFont="1" applyFill="1" applyBorder="1" applyAlignment="1">
      <alignment vertical="center"/>
    </xf>
    <xf numFmtId="164" fontId="131" fillId="12" borderId="161" xfId="4" applyNumberFormat="1" applyFont="1" applyFill="1" applyBorder="1" applyAlignment="1">
      <alignment horizontal="center" vertical="center"/>
    </xf>
    <xf numFmtId="164" fontId="74" fillId="12" borderId="162" xfId="4" applyNumberFormat="1" applyFont="1" applyFill="1" applyBorder="1" applyAlignment="1">
      <alignment vertical="center"/>
    </xf>
    <xf numFmtId="164" fontId="66" fillId="10" borderId="141" xfId="4" applyNumberFormat="1" applyFont="1" applyFill="1" applyBorder="1" applyAlignment="1">
      <alignment vertical="center" wrapText="1"/>
    </xf>
    <xf numFmtId="164" fontId="131" fillId="10" borderId="160" xfId="4" applyNumberFormat="1" applyFont="1" applyFill="1" applyBorder="1" applyAlignment="1">
      <alignment vertical="center" wrapText="1"/>
    </xf>
    <xf numFmtId="0" fontId="2" fillId="0" borderId="0" xfId="0" applyFont="1"/>
    <xf numFmtId="9" fontId="0" fillId="0" borderId="0" xfId="0" applyNumberFormat="1"/>
    <xf numFmtId="0" fontId="131" fillId="48" borderId="170" xfId="0" applyFont="1" applyFill="1" applyBorder="1" applyAlignment="1">
      <alignment horizontal="center" vertical="center" wrapText="1"/>
    </xf>
    <xf numFmtId="169" fontId="66" fillId="10" borderId="159" xfId="1" applyNumberFormat="1" applyFont="1" applyFill="1" applyBorder="1" applyAlignment="1">
      <alignment horizontal="center" vertical="center" wrapText="1"/>
    </xf>
    <xf numFmtId="169" fontId="66" fillId="10" borderId="29" xfId="1" applyNumberFormat="1" applyFont="1" applyFill="1" applyBorder="1" applyAlignment="1">
      <alignment horizontal="center" vertical="center" wrapText="1"/>
    </xf>
    <xf numFmtId="167" fontId="159" fillId="0" borderId="0" xfId="0" applyNumberFormat="1" applyFont="1" applyFill="1" applyAlignment="1">
      <alignment horizontal="left" vertical="center" readingOrder="1"/>
    </xf>
    <xf numFmtId="0" fontId="159" fillId="0" borderId="0" xfId="0" applyFont="1" applyFill="1" applyAlignment="1">
      <alignment horizontal="left" vertical="center" readingOrder="1"/>
    </xf>
    <xf numFmtId="164" fontId="131" fillId="10" borderId="29" xfId="4" applyNumberFormat="1" applyFont="1" applyFill="1" applyBorder="1" applyAlignment="1">
      <alignment vertical="center"/>
    </xf>
    <xf numFmtId="164" fontId="131" fillId="7" borderId="29" xfId="4" applyNumberFormat="1" applyFont="1" applyFill="1" applyBorder="1" applyAlignment="1">
      <alignment vertical="center"/>
    </xf>
    <xf numFmtId="164" fontId="131" fillId="11" borderId="29" xfId="4" applyNumberFormat="1" applyFont="1" applyFill="1" applyBorder="1" applyAlignment="1">
      <alignment vertical="center"/>
    </xf>
    <xf numFmtId="167" fontId="160" fillId="0" borderId="0" xfId="0" applyNumberFormat="1" applyFont="1" applyFill="1" applyAlignment="1">
      <alignment horizontal="left" vertical="center" readingOrder="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168" fontId="160" fillId="0" borderId="0" xfId="0" applyNumberFormat="1" applyFont="1" applyFill="1" applyAlignment="1">
      <alignment horizontal="left" vertical="center" readingOrder="1"/>
    </xf>
    <xf numFmtId="165" fontId="160" fillId="0" borderId="0" xfId="0" applyNumberFormat="1" applyFont="1" applyFill="1" applyAlignment="1">
      <alignment horizontal="left" vertical="center" readingOrder="1"/>
    </xf>
    <xf numFmtId="9" fontId="160" fillId="0" borderId="0" xfId="1" applyFont="1" applyFill="1" applyAlignment="1">
      <alignment horizontal="left" vertical="center" readingOrder="1"/>
    </xf>
    <xf numFmtId="49" fontId="160" fillId="0" borderId="0" xfId="4" applyNumberFormat="1" applyFont="1" applyFill="1" applyAlignment="1">
      <alignment horizontal="left" vertical="center" readingOrder="1"/>
    </xf>
    <xf numFmtId="49" fontId="160" fillId="0" borderId="0" xfId="1" applyNumberFormat="1" applyFont="1" applyFill="1" applyAlignment="1">
      <alignment horizontal="left" vertical="center" readingOrder="1"/>
    </xf>
    <xf numFmtId="49" fontId="160" fillId="0" borderId="0" xfId="0" applyNumberFormat="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164" fontId="35" fillId="0" borderId="0" xfId="0" applyNumberFormat="1" applyFont="1" applyFill="1" applyAlignment="1"/>
    <xf numFmtId="0" fontId="1" fillId="0" borderId="0" xfId="0" applyFont="1"/>
    <xf numFmtId="0" fontId="1" fillId="0" borderId="0" xfId="0" applyFont="1" applyAlignment="1">
      <alignment horizontal="right"/>
    </xf>
    <xf numFmtId="0" fontId="161" fillId="0" borderId="0" xfId="0" pivotButton="1" applyFont="1"/>
    <xf numFmtId="0" fontId="161" fillId="0" borderId="0" xfId="0" applyFont="1"/>
    <xf numFmtId="0" fontId="161" fillId="0" borderId="0" xfId="0" applyFont="1" applyAlignment="1">
      <alignment horizontal="left"/>
    </xf>
    <xf numFmtId="0" fontId="161" fillId="0" borderId="0" xfId="0" applyNumberFormat="1" applyFont="1"/>
    <xf numFmtId="0" fontId="161" fillId="0" borderId="0" xfId="0" applyFont="1" applyAlignment="1">
      <alignment horizontal="left" indent="1"/>
    </xf>
    <xf numFmtId="164" fontId="161" fillId="0" borderId="0" xfId="0" applyNumberFormat="1" applyFont="1"/>
    <xf numFmtId="164" fontId="162" fillId="14" borderId="0" xfId="0" applyNumberFormat="1" applyFont="1" applyFill="1"/>
    <xf numFmtId="164" fontId="162" fillId="8" borderId="0" xfId="0" applyNumberFormat="1" applyFont="1" applyFill="1"/>
    <xf numFmtId="164" fontId="162" fillId="9" borderId="0" xfId="0" applyNumberFormat="1" applyFont="1" applyFill="1"/>
    <xf numFmtId="164" fontId="162" fillId="26" borderId="0" xfId="0" applyNumberFormat="1" applyFont="1" applyFill="1"/>
    <xf numFmtId="0" fontId="162" fillId="26" borderId="0" xfId="0" applyFont="1" applyFill="1" applyAlignment="1">
      <alignment horizontal="center" vertical="center" wrapText="1"/>
    </xf>
    <xf numFmtId="0" fontId="162" fillId="14" borderId="0" xfId="0" applyFont="1" applyFill="1" applyAlignment="1">
      <alignment horizontal="center" vertical="center"/>
    </xf>
    <xf numFmtId="0" fontId="162" fillId="8" borderId="0" xfId="0" applyFont="1" applyFill="1" applyAlignment="1">
      <alignment horizontal="center" vertical="center"/>
    </xf>
    <xf numFmtId="0" fontId="162" fillId="9" borderId="0" xfId="0" applyFont="1" applyFill="1" applyAlignment="1">
      <alignment horizontal="center" vertical="center"/>
    </xf>
    <xf numFmtId="0" fontId="162" fillId="9" borderId="0" xfId="0" applyFont="1" applyFill="1" applyAlignment="1">
      <alignment horizontal="center" vertical="center" wrapText="1"/>
    </xf>
    <xf numFmtId="164" fontId="163" fillId="12" borderId="0" xfId="0" applyNumberFormat="1" applyFont="1" applyFill="1"/>
    <xf numFmtId="0" fontId="163" fillId="12" borderId="0" xfId="0" applyFont="1" applyFill="1" applyAlignment="1">
      <alignment horizontal="center" vertical="center" wrapText="1"/>
    </xf>
    <xf numFmtId="164" fontId="161" fillId="56" borderId="0" xfId="0" applyNumberFormat="1" applyFont="1" applyFill="1"/>
    <xf numFmtId="0" fontId="161" fillId="56" borderId="0" xfId="0" applyFont="1" applyFill="1" applyAlignment="1">
      <alignment horizontal="center" vertical="center"/>
    </xf>
    <xf numFmtId="164" fontId="161" fillId="16" borderId="0" xfId="0" applyNumberFormat="1" applyFont="1" applyFill="1"/>
    <xf numFmtId="0" fontId="161" fillId="16" borderId="0" xfId="0" applyFont="1" applyFill="1" applyAlignment="1">
      <alignment horizontal="center" vertical="center"/>
    </xf>
    <xf numFmtId="0" fontId="162" fillId="14" borderId="0" xfId="0" applyFont="1" applyFill="1" applyAlignment="1">
      <alignment horizontal="center" vertical="center" wrapText="1"/>
    </xf>
    <xf numFmtId="0" fontId="162" fillId="8" borderId="0" xfId="0" applyFont="1" applyFill="1" applyAlignment="1">
      <alignment horizontal="center" vertical="center" wrapText="1"/>
    </xf>
    <xf numFmtId="0" fontId="161" fillId="56" borderId="0" xfId="0" applyFont="1" applyFill="1" applyAlignment="1">
      <alignment horizontal="center" vertical="center" wrapText="1"/>
    </xf>
    <xf numFmtId="0" fontId="161" fillId="16" borderId="0" xfId="0" applyFont="1" applyFill="1" applyAlignment="1">
      <alignment horizontal="center" vertical="center" wrapText="1"/>
    </xf>
    <xf numFmtId="0" fontId="164" fillId="0" borderId="0" xfId="0" pivotButton="1" applyFont="1"/>
    <xf numFmtId="0" fontId="164" fillId="0" borderId="0" xfId="0" applyFont="1"/>
    <xf numFmtId="0" fontId="164" fillId="0" borderId="0" xfId="0" pivotButton="1" applyFont="1" applyAlignment="1">
      <alignment wrapText="1"/>
    </xf>
    <xf numFmtId="0" fontId="164" fillId="0" borderId="0" xfId="0" applyFont="1" applyAlignment="1">
      <alignment horizontal="left"/>
    </xf>
    <xf numFmtId="0" fontId="164" fillId="0" borderId="0" xfId="0" applyNumberFormat="1" applyFont="1"/>
    <xf numFmtId="9" fontId="164" fillId="0" borderId="0" xfId="0" applyNumberFormat="1" applyFont="1"/>
    <xf numFmtId="0" fontId="164" fillId="0" borderId="0" xfId="0" pivotButton="1" applyFont="1" applyAlignment="1">
      <alignment horizontal="center" vertical="center" wrapText="1"/>
    </xf>
    <xf numFmtId="0" fontId="165" fillId="40" borderId="0" xfId="0" applyFont="1" applyFill="1" applyAlignment="1">
      <alignment wrapText="1"/>
    </xf>
    <xf numFmtId="1" fontId="164" fillId="0" borderId="0" xfId="0" applyNumberFormat="1" applyFont="1"/>
    <xf numFmtId="0" fontId="165" fillId="40" borderId="0" xfId="0" applyFont="1" applyFill="1" applyAlignment="1"/>
    <xf numFmtId="0" fontId="165" fillId="29" borderId="0" xfId="0" applyFont="1" applyFill="1" applyAlignment="1">
      <alignment horizontal="left" vertical="center" wrapText="1"/>
    </xf>
    <xf numFmtId="164" fontId="164" fillId="0" borderId="0" xfId="0" applyNumberFormat="1" applyFont="1"/>
    <xf numFmtId="0" fontId="165" fillId="40" borderId="0" xfId="0" applyFont="1" applyFill="1"/>
    <xf numFmtId="0" fontId="164" fillId="0" borderId="0" xfId="0" applyFont="1" applyAlignment="1">
      <alignment wrapText="1"/>
    </xf>
    <xf numFmtId="0" fontId="165" fillId="29" borderId="0" xfId="0" applyFont="1" applyFill="1"/>
    <xf numFmtId="9" fontId="164" fillId="0" borderId="0" xfId="0" pivotButton="1" applyNumberFormat="1" applyFont="1"/>
    <xf numFmtId="9" fontId="164" fillId="0" borderId="0" xfId="0" applyNumberFormat="1" applyFont="1" applyAlignment="1">
      <alignment horizontal="left"/>
    </xf>
    <xf numFmtId="0" fontId="164" fillId="0" borderId="0" xfId="0" pivotButton="1" applyFont="1" applyAlignment="1">
      <alignment horizontal="center" wrapText="1"/>
    </xf>
    <xf numFmtId="0" fontId="161" fillId="0" borderId="0" xfId="0" pivotButton="1" applyFont="1" applyAlignment="1">
      <alignment horizontal="center" vertical="center" wrapText="1"/>
    </xf>
    <xf numFmtId="169" fontId="66" fillId="0" borderId="63" xfId="0" applyNumberFormat="1" applyFont="1" applyFill="1" applyBorder="1" applyAlignment="1">
      <alignment horizontal="center" vertical="center"/>
    </xf>
    <xf numFmtId="164" fontId="24" fillId="0" borderId="0" xfId="1" applyNumberFormat="1" applyFont="1" applyFill="1" applyAlignment="1">
      <alignment horizontal="left" vertical="center" readingOrder="1"/>
    </xf>
    <xf numFmtId="166" fontId="36" fillId="15" borderId="5" xfId="8" applyFont="1" applyFill="1" applyBorder="1" applyAlignment="1">
      <alignment horizontal="center" vertical="center"/>
    </xf>
    <xf numFmtId="166" fontId="36" fillId="15" borderId="6" xfId="8" applyFont="1" applyFill="1" applyBorder="1" applyAlignment="1">
      <alignment horizontal="center" vertical="center"/>
    </xf>
    <xf numFmtId="166" fontId="36" fillId="15" borderId="7" xfId="8" applyFont="1" applyFill="1" applyBorder="1" applyAlignment="1">
      <alignment horizontal="center" vertical="center"/>
    </xf>
    <xf numFmtId="166" fontId="14" fillId="20" borderId="0" xfId="8" applyFont="1" applyFill="1" applyBorder="1" applyAlignment="1">
      <alignment horizontal="left" wrapText="1"/>
    </xf>
    <xf numFmtId="166" fontId="20" fillId="20" borderId="0" xfId="8" applyFill="1" applyBorder="1" applyAlignment="1">
      <alignment horizontal="left" wrapText="1"/>
    </xf>
    <xf numFmtId="166" fontId="20" fillId="20" borderId="9" xfId="8" applyFill="1" applyBorder="1" applyAlignment="1">
      <alignment horizontal="left" wrapText="1"/>
    </xf>
    <xf numFmtId="0" fontId="34" fillId="5" borderId="75" xfId="0" applyFont="1" applyFill="1" applyBorder="1" applyAlignment="1">
      <alignment horizontal="center" vertical="center" wrapText="1"/>
    </xf>
    <xf numFmtId="0" fontId="34" fillId="5" borderId="73" xfId="0" applyFont="1" applyFill="1" applyBorder="1" applyAlignment="1">
      <alignment horizontal="center" vertical="center" wrapText="1"/>
    </xf>
    <xf numFmtId="0" fontId="34" fillId="5" borderId="76" xfId="0" applyFont="1" applyFill="1" applyBorder="1" applyAlignment="1">
      <alignment horizontal="center" vertical="center" wrapText="1"/>
    </xf>
    <xf numFmtId="0" fontId="23" fillId="44" borderId="71" xfId="22" applyNumberFormat="1" applyFont="1" applyFill="1" applyBorder="1" applyAlignment="1">
      <alignment horizontal="center" vertical="center"/>
    </xf>
    <xf numFmtId="0" fontId="23" fillId="44" borderId="68" xfId="22" applyNumberFormat="1" applyFont="1" applyFill="1" applyBorder="1" applyAlignment="1">
      <alignment horizontal="center" vertical="center"/>
    </xf>
    <xf numFmtId="0" fontId="34" fillId="5" borderId="99" xfId="0" applyFont="1" applyFill="1" applyBorder="1" applyAlignment="1">
      <alignment horizontal="center" vertical="center"/>
    </xf>
    <xf numFmtId="0" fontId="34" fillId="5" borderId="100" xfId="0" applyFont="1" applyFill="1" applyBorder="1" applyAlignment="1">
      <alignment horizontal="center" vertical="center"/>
    </xf>
    <xf numFmtId="0" fontId="34" fillId="5" borderId="101" xfId="0" applyFont="1" applyFill="1" applyBorder="1" applyAlignment="1">
      <alignment horizontal="center" vertical="center"/>
    </xf>
    <xf numFmtId="0" fontId="34" fillId="5" borderId="75" xfId="0" applyFont="1" applyFill="1" applyBorder="1" applyAlignment="1">
      <alignment horizontal="center" vertical="center"/>
    </xf>
    <xf numFmtId="0" fontId="34" fillId="5" borderId="73" xfId="0" applyFont="1" applyFill="1" applyBorder="1" applyAlignment="1">
      <alignment horizontal="center" vertical="center"/>
    </xf>
    <xf numFmtId="0" fontId="34" fillId="5" borderId="76" xfId="0" applyFont="1" applyFill="1" applyBorder="1" applyAlignment="1">
      <alignment horizontal="center" vertical="center"/>
    </xf>
    <xf numFmtId="0" fontId="34" fillId="5" borderId="80" xfId="0" applyFont="1" applyFill="1" applyBorder="1" applyAlignment="1">
      <alignment horizontal="center" vertical="center" wrapText="1"/>
    </xf>
    <xf numFmtId="0" fontId="33" fillId="56" borderId="0" xfId="22" applyFont="1" applyFill="1" applyAlignment="1">
      <alignment horizontal="center" vertical="center" readingOrder="1"/>
    </xf>
    <xf numFmtId="0" fontId="112" fillId="16" borderId="71" xfId="22" applyFont="1" applyFill="1" applyBorder="1" applyAlignment="1">
      <alignment horizontal="center" vertical="center" readingOrder="1"/>
    </xf>
    <xf numFmtId="0" fontId="112" fillId="16" borderId="146" xfId="22" applyFont="1" applyFill="1" applyBorder="1" applyAlignment="1">
      <alignment horizontal="center" vertical="center" readingOrder="1"/>
    </xf>
    <xf numFmtId="0" fontId="112" fillId="16" borderId="68" xfId="22" applyFont="1" applyFill="1" applyBorder="1" applyAlignment="1">
      <alignment horizontal="center" vertical="center" readingOrder="1"/>
    </xf>
    <xf numFmtId="0" fontId="34" fillId="5" borderId="87" xfId="0" applyFont="1" applyFill="1" applyBorder="1" applyAlignment="1">
      <alignment horizontal="center" vertical="center"/>
    </xf>
    <xf numFmtId="0" fontId="34" fillId="5" borderId="88" xfId="0" applyFont="1" applyFill="1" applyBorder="1" applyAlignment="1">
      <alignment horizontal="center" vertical="center"/>
    </xf>
    <xf numFmtId="9" fontId="123" fillId="26" borderId="0" xfId="19" applyNumberFormat="1" applyFont="1" applyFill="1" applyAlignment="1">
      <alignment horizontal="center" vertical="center" wrapText="1" readingOrder="1"/>
    </xf>
    <xf numFmtId="9" fontId="31" fillId="27" borderId="140" xfId="19" applyNumberFormat="1" applyFont="1" applyFill="1" applyBorder="1" applyAlignment="1">
      <alignment horizontal="center" vertical="center" wrapText="1" readingOrder="1"/>
    </xf>
    <xf numFmtId="9" fontId="31" fillId="27" borderId="0" xfId="19" applyNumberFormat="1" applyFont="1" applyFill="1" applyBorder="1" applyAlignment="1">
      <alignment horizontal="center" vertical="center" wrapText="1" readingOrder="1"/>
    </xf>
    <xf numFmtId="0" fontId="34" fillId="8" borderId="74" xfId="0" applyFont="1" applyFill="1" applyBorder="1" applyAlignment="1">
      <alignment horizontal="center" vertical="center" wrapText="1"/>
    </xf>
    <xf numFmtId="0" fontId="34" fillId="8" borderId="80" xfId="0" applyFont="1" applyFill="1" applyBorder="1" applyAlignment="1">
      <alignment horizontal="center" vertical="center" wrapText="1"/>
    </xf>
    <xf numFmtId="0" fontId="34" fillId="8" borderId="83" xfId="0" applyFont="1" applyFill="1" applyBorder="1" applyAlignment="1">
      <alignment horizontal="center" vertical="center" wrapText="1"/>
    </xf>
    <xf numFmtId="0" fontId="34" fillId="8" borderId="84" xfId="0" applyFont="1" applyFill="1" applyBorder="1" applyAlignment="1">
      <alignment horizontal="center" vertical="center" wrapText="1"/>
    </xf>
    <xf numFmtId="0" fontId="34" fillId="8" borderId="85" xfId="0" applyFont="1" applyFill="1" applyBorder="1" applyAlignment="1">
      <alignment horizontal="center" vertical="center" wrapText="1"/>
    </xf>
    <xf numFmtId="0" fontId="34" fillId="8" borderId="86" xfId="0" applyFont="1" applyFill="1" applyBorder="1" applyAlignment="1">
      <alignment horizontal="center" vertical="center" wrapText="1"/>
    </xf>
    <xf numFmtId="0" fontId="99" fillId="6" borderId="71" xfId="22" applyNumberFormat="1" applyFont="1" applyFill="1" applyBorder="1" applyAlignment="1">
      <alignment horizontal="center" vertical="center"/>
    </xf>
    <xf numFmtId="0" fontId="99" fillId="6" borderId="146" xfId="22" applyNumberFormat="1" applyFont="1" applyFill="1" applyBorder="1" applyAlignment="1">
      <alignment horizontal="center" vertical="center"/>
    </xf>
    <xf numFmtId="0" fontId="99" fillId="6" borderId="68" xfId="22" applyNumberFormat="1" applyFont="1" applyFill="1" applyBorder="1" applyAlignment="1">
      <alignment horizontal="center" vertical="center"/>
    </xf>
    <xf numFmtId="0" fontId="99" fillId="37" borderId="71" xfId="22" applyNumberFormat="1" applyFont="1" applyFill="1" applyBorder="1" applyAlignment="1">
      <alignment horizontal="center" vertical="center"/>
    </xf>
    <xf numFmtId="0" fontId="99" fillId="37" borderId="146" xfId="22" applyNumberFormat="1" applyFont="1" applyFill="1" applyBorder="1" applyAlignment="1">
      <alignment horizontal="center" vertical="center"/>
    </xf>
    <xf numFmtId="0" fontId="99" fillId="37" borderId="68" xfId="22" applyNumberFormat="1" applyFont="1" applyFill="1" applyBorder="1" applyAlignment="1">
      <alignment horizontal="center" vertical="center"/>
    </xf>
    <xf numFmtId="0" fontId="34" fillId="8" borderId="73" xfId="0" applyFont="1" applyFill="1" applyBorder="1" applyAlignment="1">
      <alignment horizontal="center" vertical="center" wrapText="1"/>
    </xf>
    <xf numFmtId="0" fontId="34" fillId="5" borderId="92" xfId="0" applyFont="1" applyFill="1" applyBorder="1" applyAlignment="1">
      <alignment horizontal="center" vertical="center" wrapText="1"/>
    </xf>
    <xf numFmtId="0" fontId="34" fillId="5" borderId="93" xfId="0" applyFont="1" applyFill="1" applyBorder="1" applyAlignment="1">
      <alignment horizontal="center" vertical="center" wrapText="1"/>
    </xf>
    <xf numFmtId="0" fontId="34" fillId="5" borderId="85" xfId="0" applyFont="1" applyFill="1" applyBorder="1" applyAlignment="1">
      <alignment horizontal="center" vertical="center" wrapText="1"/>
    </xf>
    <xf numFmtId="0" fontId="34" fillId="5" borderId="86" xfId="0" applyFont="1" applyFill="1" applyBorder="1" applyAlignment="1">
      <alignment horizontal="center" vertical="center" wrapText="1"/>
    </xf>
    <xf numFmtId="0" fontId="34" fillId="5" borderId="92" xfId="0" applyFont="1" applyFill="1" applyBorder="1" applyAlignment="1">
      <alignment horizontal="center" vertical="center"/>
    </xf>
    <xf numFmtId="0" fontId="34" fillId="5" borderId="93" xfId="0" applyFont="1" applyFill="1" applyBorder="1" applyAlignment="1">
      <alignment horizontal="center" vertical="center"/>
    </xf>
    <xf numFmtId="0" fontId="33" fillId="38" borderId="164" xfId="0" applyFont="1" applyFill="1" applyBorder="1" applyAlignment="1">
      <alignment horizontal="center" vertical="center" textRotation="90" wrapText="1"/>
    </xf>
    <xf numFmtId="0" fontId="33" fillId="38" borderId="0" xfId="0" applyFont="1" applyFill="1" applyBorder="1" applyAlignment="1">
      <alignment horizontal="center" vertical="center" textRotation="90" wrapText="1"/>
    </xf>
    <xf numFmtId="0" fontId="33" fillId="38" borderId="165" xfId="0" applyFont="1" applyFill="1" applyBorder="1" applyAlignment="1">
      <alignment horizontal="center" vertical="center" textRotation="90" wrapText="1"/>
    </xf>
    <xf numFmtId="0" fontId="33" fillId="56" borderId="143" xfId="22" applyFont="1" applyFill="1" applyBorder="1" applyAlignment="1">
      <alignment horizontal="center" vertical="center" textRotation="90" readingOrder="1"/>
    </xf>
    <xf numFmtId="0" fontId="33" fillId="56" borderId="0" xfId="22" applyFont="1" applyFill="1" applyAlignment="1">
      <alignment horizontal="center" vertical="center" textRotation="90" readingOrder="1"/>
    </xf>
    <xf numFmtId="0" fontId="107" fillId="0" borderId="0" xfId="19" applyFont="1" applyAlignment="1">
      <alignment horizontal="left" vertical="center"/>
    </xf>
    <xf numFmtId="0" fontId="144" fillId="2" borderId="67" xfId="22" applyFont="1" applyFill="1" applyBorder="1" applyAlignment="1">
      <alignment horizontal="center" vertical="center" textRotation="90" readingOrder="1"/>
    </xf>
    <xf numFmtId="0" fontId="144" fillId="2" borderId="91" xfId="22" applyFont="1" applyFill="1" applyBorder="1" applyAlignment="1">
      <alignment horizontal="center" vertical="center" textRotation="90" readingOrder="1"/>
    </xf>
    <xf numFmtId="0" fontId="144" fillId="14" borderId="67" xfId="22" applyFont="1" applyFill="1" applyBorder="1" applyAlignment="1">
      <alignment horizontal="center" vertical="center" textRotation="90" readingOrder="1"/>
    </xf>
    <xf numFmtId="0" fontId="144" fillId="14" borderId="91" xfId="22" applyFont="1" applyFill="1" applyBorder="1" applyAlignment="1">
      <alignment horizontal="center" vertical="center" textRotation="90" readingOrder="1"/>
    </xf>
    <xf numFmtId="0" fontId="144" fillId="14" borderId="69" xfId="22" applyFont="1" applyFill="1" applyBorder="1" applyAlignment="1">
      <alignment horizontal="center" vertical="center" textRotation="90" readingOrder="1"/>
    </xf>
    <xf numFmtId="0" fontId="144" fillId="38" borderId="67" xfId="22" applyFont="1" applyFill="1" applyBorder="1" applyAlignment="1">
      <alignment horizontal="center" vertical="center" textRotation="90" readingOrder="1"/>
    </xf>
    <xf numFmtId="0" fontId="144" fillId="38" borderId="91" xfId="22" applyFont="1" applyFill="1" applyBorder="1" applyAlignment="1">
      <alignment horizontal="center" vertical="center" textRotation="90" readingOrder="1"/>
    </xf>
    <xf numFmtId="0" fontId="144" fillId="38" borderId="69" xfId="22" applyFont="1" applyFill="1" applyBorder="1" applyAlignment="1">
      <alignment horizontal="center" vertical="center" textRotation="90" readingOrder="1"/>
    </xf>
    <xf numFmtId="0" fontId="144" fillId="9" borderId="67" xfId="22" applyFont="1" applyFill="1" applyBorder="1" applyAlignment="1">
      <alignment horizontal="center" vertical="center" textRotation="90" readingOrder="1"/>
    </xf>
    <xf numFmtId="0" fontId="144" fillId="9" borderId="91" xfId="22" applyFont="1" applyFill="1" applyBorder="1" applyAlignment="1">
      <alignment horizontal="center" vertical="center" textRotation="90" readingOrder="1"/>
    </xf>
    <xf numFmtId="0" fontId="144" fillId="9" borderId="69" xfId="22" applyFont="1" applyFill="1" applyBorder="1" applyAlignment="1">
      <alignment horizontal="center" vertical="center" textRotation="90" readingOrder="1"/>
    </xf>
    <xf numFmtId="0" fontId="144" fillId="16" borderId="67" xfId="22" applyFont="1" applyFill="1" applyBorder="1" applyAlignment="1">
      <alignment horizontal="center" vertical="center" textRotation="90" readingOrder="1"/>
    </xf>
    <xf numFmtId="0" fontId="144" fillId="16" borderId="91" xfId="22" applyFont="1" applyFill="1" applyBorder="1" applyAlignment="1">
      <alignment horizontal="center" vertical="center" textRotation="90" readingOrder="1"/>
    </xf>
    <xf numFmtId="0" fontId="144" fillId="16" borderId="69" xfId="22" applyFont="1" applyFill="1" applyBorder="1" applyAlignment="1">
      <alignment horizontal="center" vertical="center" textRotation="90" readingOrder="1"/>
    </xf>
    <xf numFmtId="0" fontId="109" fillId="0" borderId="0" xfId="19" applyFont="1" applyAlignment="1">
      <alignment horizontal="left" vertical="center"/>
    </xf>
    <xf numFmtId="0" fontId="66" fillId="0" borderId="0" xfId="0" applyFont="1" applyAlignment="1">
      <alignment horizontal="center"/>
    </xf>
    <xf numFmtId="0" fontId="73" fillId="0" borderId="105" xfId="0" applyFont="1" applyBorder="1" applyAlignment="1">
      <alignment horizontal="center" vertical="center" wrapText="1"/>
    </xf>
    <xf numFmtId="0" fontId="73" fillId="0" borderId="106" xfId="0" applyFont="1" applyBorder="1" applyAlignment="1">
      <alignment horizontal="center" vertical="center" wrapText="1"/>
    </xf>
    <xf numFmtId="0" fontId="12" fillId="0" borderId="0" xfId="0" applyFont="1" applyAlignment="1">
      <alignment horizontal="center"/>
    </xf>
    <xf numFmtId="0" fontId="16" fillId="0" borderId="0" xfId="0" applyFont="1" applyAlignment="1">
      <alignment horizontal="center"/>
    </xf>
    <xf numFmtId="0" fontId="90" fillId="41" borderId="0" xfId="0" applyFont="1" applyFill="1" applyAlignment="1">
      <alignment horizontal="center" vertical="center"/>
    </xf>
    <xf numFmtId="0" fontId="77" fillId="26" borderId="0" xfId="0" applyFont="1" applyFill="1" applyAlignment="1">
      <alignment horizontal="center" vertical="center" wrapText="1"/>
    </xf>
    <xf numFmtId="164" fontId="76"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926">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925"/>
      <tableStyleElement type="headerRow" dxfId="924"/>
    </tableStyle>
    <tableStyle name="4W Style" pivot="0" table="0" count="1" xr9:uid="{00000000-0011-0000-FFFF-FFFF01000000}">
      <tableStyleElement type="wholeTable" dxfId="923"/>
    </tableStyle>
    <tableStyle name="CUSTOM" table="0" count="13" xr9:uid="{00000000-0011-0000-FFFF-FFFF02000000}">
      <tableStyleElement type="wholeTable" dxfId="922"/>
      <tableStyleElement type="headerRow" dxfId="921"/>
      <tableStyleElement type="totalRow" dxfId="920"/>
      <tableStyleElement type="firstColumn" dxfId="919"/>
      <tableStyleElement type="firstRowStripe" dxfId="918"/>
      <tableStyleElement type="secondRowStripe" dxfId="917"/>
      <tableStyleElement type="firstColumnStripe" dxfId="916"/>
      <tableStyleElement type="firstSubtotalRow" dxfId="915"/>
      <tableStyleElement type="secondSubtotalRow" dxfId="914"/>
      <tableStyleElement type="secondColumnSubheading" dxfId="913"/>
      <tableStyleElement type="thirdColumnSubheading" dxfId="912"/>
      <tableStyleElement type="firstRowSubheading" dxfId="911"/>
      <tableStyleElement type="secondRowSubheading" dxfId="910"/>
    </tableStyle>
    <tableStyle name="PivotStyleLight10 2" table="0" count="12" xr9:uid="{00000000-0011-0000-FFFF-FFFF03000000}">
      <tableStyleElement type="wholeTable" dxfId="909"/>
      <tableStyleElement type="headerRow" dxfId="908"/>
      <tableStyleElement type="totalRow" dxfId="907"/>
      <tableStyleElement type="firstColumn" dxfId="906"/>
      <tableStyleElement type="firstRowStripe" dxfId="905"/>
      <tableStyleElement type="firstColumnStripe" dxfId="904"/>
      <tableStyleElement type="firstSubtotalRow" dxfId="903"/>
      <tableStyleElement type="secondSubtotalRow" dxfId="902"/>
      <tableStyleElement type="secondColumnSubheading" dxfId="901"/>
      <tableStyleElement type="thirdColumnSubheading" dxfId="900"/>
      <tableStyleElement type="firstRowSubheading" dxfId="899"/>
      <tableStyleElement type="secondRowSubheading" dxfId="898"/>
    </tableStyle>
    <tableStyle name="PivotStyleLight14 2" table="0" count="12" xr9:uid="{00000000-0011-0000-FFFF-FFFF04000000}">
      <tableStyleElement type="wholeTable" dxfId="897"/>
      <tableStyleElement type="headerRow" dxfId="896"/>
      <tableStyleElement type="totalRow" dxfId="895"/>
      <tableStyleElement type="firstColumn" dxfId="894"/>
      <tableStyleElement type="firstRowStripe" dxfId="893"/>
      <tableStyleElement type="firstColumnStripe" dxfId="892"/>
      <tableStyleElement type="firstSubtotalRow" dxfId="891"/>
      <tableStyleElement type="secondSubtotalRow" dxfId="890"/>
      <tableStyleElement type="secondColumnSubheading" dxfId="889"/>
      <tableStyleElement type="thirdColumnSubheading" dxfId="888"/>
      <tableStyleElement type="firstRowSubheading" dxfId="887"/>
      <tableStyleElement type="secondRowSubheading" dxfId="886"/>
    </tableStyle>
    <tableStyle name="PivotStyleLight23 2" table="0" count="10" xr9:uid="{00000000-0011-0000-FFFF-FFFF05000000}">
      <tableStyleElement type="wholeTable" dxfId="885"/>
      <tableStyleElement type="headerRow" dxfId="884"/>
      <tableStyleElement type="totalRow" dxfId="883"/>
      <tableStyleElement type="firstColumn" dxfId="882"/>
      <tableStyleElement type="firstRowStripe" dxfId="881"/>
      <tableStyleElement type="firstColumnStripe" dxfId="880"/>
      <tableStyleElement type="firstSubtotalColumn" dxfId="879"/>
      <tableStyleElement type="firstSubtotalRow" dxfId="878"/>
      <tableStyleElement type="secondSubtotalRow" dxfId="877"/>
      <tableStyleElement type="pageFieldLabels" dxfId="876"/>
    </tableStyle>
    <tableStyle name="PivotStyleLight9 2" table="0" count="13" xr9:uid="{00000000-0011-0000-FFFF-FFFF06000000}">
      <tableStyleElement type="wholeTable" dxfId="875"/>
      <tableStyleElement type="headerRow" dxfId="874"/>
      <tableStyleElement type="totalRow" dxfId="873"/>
      <tableStyleElement type="firstColumn" dxfId="872"/>
      <tableStyleElement type="firstRowStripe" dxfId="871"/>
      <tableStyleElement type="secondRowStripe" dxfId="870"/>
      <tableStyleElement type="firstColumnStripe" dxfId="869"/>
      <tableStyleElement type="firstSubtotalRow" dxfId="868"/>
      <tableStyleElement type="secondSubtotalRow" dxfId="867"/>
      <tableStyleElement type="secondColumnSubheading" dxfId="866"/>
      <tableStyleElement type="thirdColumnSubheading" dxfId="865"/>
      <tableStyleElement type="firstRowSubheading" dxfId="864"/>
      <tableStyleElement type="secondRowSubheading" dxfId="863"/>
    </tableStyle>
    <tableStyle name="PivotTable Style 1" table="0" count="1" xr9:uid="{00000000-0011-0000-FFFF-FFFF07000000}">
      <tableStyleElement type="wholeTable" dxfId="862"/>
    </tableStyle>
    <tableStyle name="PivotTable Style a" table="0" count="7" xr9:uid="{00000000-0011-0000-FFFF-FFFF08000000}">
      <tableStyleElement type="wholeTable" dxfId="861"/>
      <tableStyleElement type="headerRow" dxfId="860"/>
      <tableStyleElement type="totalRow" dxfId="859"/>
      <tableStyleElement type="firstColumn" dxfId="858"/>
      <tableStyleElement type="secondSubtotalRow" dxfId="857"/>
      <tableStyleElement type="firstRowSubheading" dxfId="856"/>
      <tableStyleElement type="secondRowSubheading" dxfId="855"/>
    </tableStyle>
    <tableStyle name="Slicer Style 1" pivot="0" table="0" count="5" xr9:uid="{00000000-0011-0000-FFFF-FFFF09000000}">
      <tableStyleElement type="wholeTable" dxfId="854"/>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2.xml"/><Relationship Id="rId39" Type="http://schemas.openxmlformats.org/officeDocument/2006/relationships/sheetMetadata" Target="metadata.xml"/><Relationship Id="rId21" Type="http://schemas.openxmlformats.org/officeDocument/2006/relationships/externalLink" Target="externalLinks/externalLink5.xml"/><Relationship Id="rId34" Type="http://schemas.microsoft.com/office/2007/relationships/slicerCache" Target="slicerCaches/slicerCache10.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07/relationships/slicerCache" Target="slicerCaches/slicerCache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openxmlformats.org/officeDocument/2006/relationships/styles" Target="styles.xml"/><Relationship Id="rId40"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microsoft.com/office/2007/relationships/slicerCache" Target="slicerCaches/slicerCache7.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openxmlformats.org/officeDocument/2006/relationships/theme" Target="theme/theme1.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2022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7400</c:v>
                </c:pt>
                <c:pt idx="2">
                  <c:v>2515</c:v>
                </c:pt>
                <c:pt idx="3">
                  <c:v>159476.77402674593</c:v>
                </c:pt>
                <c:pt idx="4">
                  <c:v>132576</c:v>
                </c:pt>
                <c:pt idx="5">
                  <c:v>153715</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3534.0500000000011</c:v>
                </c:pt>
                <c:pt idx="2">
                  <c:v>25913.530000000002</c:v>
                </c:pt>
                <c:pt idx="3">
                  <c:v>59204.22597325407</c:v>
                </c:pt>
                <c:pt idx="4">
                  <c:v>86105</c:v>
                </c:pt>
                <c:pt idx="5">
                  <c:v>64966</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Analysis!$C$317</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Analysis!$C$318</c:f>
              <c:numCache>
                <c:formatCode>_(* #,##0_);_(* \(#,##0\);_(* "-"??_);_(@_)</c:formatCode>
                <c:ptCount val="1"/>
                <c:pt idx="0">
                  <c:v>121</c:v>
                </c:pt>
              </c:numCache>
            </c:numRef>
          </c:val>
          <c:extLst>
            <c:ext xmlns:c16="http://schemas.microsoft.com/office/drawing/2014/chart" uri="{C3380CC4-5D6E-409C-BE32-E72D297353CC}">
              <c16:uniqueId val="{00000001-CE36-475E-86D3-F17BC512A813}"/>
            </c:ext>
          </c:extLst>
        </c:ser>
        <c:ser>
          <c:idx val="1"/>
          <c:order val="1"/>
          <c:tx>
            <c:strRef>
              <c:f>Analysis!$D$317</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Analysis!$D$318</c:f>
              <c:numCache>
                <c:formatCode>_(* #,##0_);_(* \(#,##0\);_(* "-"??_);_(@_)</c:formatCode>
                <c:ptCount val="1"/>
                <c:pt idx="0">
                  <c:v>1</c:v>
                </c:pt>
              </c:numCache>
            </c:numRef>
          </c:val>
          <c:extLst>
            <c:ext xmlns:c16="http://schemas.microsoft.com/office/drawing/2014/chart" uri="{C3380CC4-5D6E-409C-BE32-E72D297353CC}">
              <c16:uniqueId val="{00000002-CE36-475E-86D3-F17BC512A813}"/>
            </c:ext>
          </c:extLst>
        </c:ser>
        <c:ser>
          <c:idx val="2"/>
          <c:order val="2"/>
          <c:tx>
            <c:strRef>
              <c:f>Analysis!$E$317</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Analysis!$E$318</c:f>
              <c:numCache>
                <c:formatCode>_(* #,##0_);_(* \(#,##0\);_(* "-"??_);_(@_)</c:formatCode>
                <c:ptCount val="1"/>
                <c:pt idx="0">
                  <c:v>54</c:v>
                </c:pt>
              </c:numCache>
            </c:numRef>
          </c:val>
          <c:extLst>
            <c:ext xmlns:c16="http://schemas.microsoft.com/office/drawing/2014/chart" uri="{C3380CC4-5D6E-409C-BE32-E72D297353CC}">
              <c16:uniqueId val="{00000003-CE36-475E-86D3-F17BC512A813}"/>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F88-4081-9E5B-64976B77BD7F}"/>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3027308849978708"/>
          <c:h val="9.32687603111597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1</c:v>
                </c:pt>
                <c:pt idx="3">
                  <c:v>1</c:v>
                </c:pt>
              </c:numCache>
            </c:numRef>
          </c:val>
          <c:extLst>
            <c:ext xmlns:c16="http://schemas.microsoft.com/office/drawing/2014/chart" uri="{C3380CC4-5D6E-409C-BE32-E72D297353CC}">
              <c16:uniqueId val="{00000001-9BD7-47EC-9EAB-D2452F4F8913}"/>
            </c:ext>
          </c:extLst>
        </c:ser>
        <c:ser>
          <c:idx val="1"/>
          <c:order val="1"/>
          <c:tx>
            <c:strRef>
              <c:f>Analysis!$D$83</c:f>
              <c:strCache>
                <c:ptCount val="1"/>
                <c:pt idx="0">
                  <c:v> % Water GAP</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0</c:v>
                </c:pt>
                <c:pt idx="3">
                  <c:v>0</c:v>
                </c:pt>
              </c:numCache>
            </c:numRef>
          </c:val>
          <c:extLst>
            <c:ext xmlns:c16="http://schemas.microsoft.com/office/drawing/2014/chart" uri="{C3380CC4-5D6E-409C-BE32-E72D297353CC}">
              <c16:uniqueId val="{00000002-9BD7-47EC-9EAB-D2452F4F8913}"/>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0.81211999194684925</c:v>
                </c:pt>
                <c:pt idx="3">
                  <c:v>0.85999846405336322</c:v>
                </c:pt>
              </c:numCache>
            </c:numRef>
          </c:val>
          <c:extLst>
            <c:ext xmlns:c16="http://schemas.microsoft.com/office/drawing/2014/chart" uri="{C3380CC4-5D6E-409C-BE32-E72D297353CC}">
              <c16:uniqueId val="{00000001-85E8-4688-8C1F-B94B57DDF47C}"/>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0.18788000805315075</c:v>
                </c:pt>
                <c:pt idx="3">
                  <c:v>0.14000153594663678</c:v>
                </c:pt>
              </c:numCache>
            </c:numRef>
          </c:val>
          <c:extLst>
            <c:ext xmlns:c16="http://schemas.microsoft.com/office/drawing/2014/chart" uri="{C3380CC4-5D6E-409C-BE32-E72D297353CC}">
              <c16:uniqueId val="{00000002-85E8-4688-8C1F-B94B57DDF47C}"/>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1</c:v>
                </c:pt>
                <c:pt idx="3">
                  <c:v>0.9984396321050798</c:v>
                </c:pt>
              </c:numCache>
            </c:numRef>
          </c:val>
          <c:extLst>
            <c:ext xmlns:c16="http://schemas.microsoft.com/office/drawing/2014/chart" uri="{C3380CC4-5D6E-409C-BE32-E72D297353CC}">
              <c16:uniqueId val="{00000001-4A43-49A6-8130-8FC105EB916A}"/>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0</c:v>
                </c:pt>
                <c:pt idx="3">
                  <c:v>1.5603678949202004E-3</c:v>
                </c:pt>
              </c:numCache>
            </c:numRef>
          </c:val>
          <c:extLst>
            <c:ext xmlns:c16="http://schemas.microsoft.com/office/drawing/2014/chart" uri="{C3380CC4-5D6E-409C-BE32-E72D297353CC}">
              <c16:uniqueId val="{00000002-4A43-49A6-8130-8FC105EB916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15</c:v>
                </c:pt>
                <c:pt idx="1">
                  <c:v>6</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703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Analysis!$J$47:$J$48</c:f>
              <c:strCache>
                <c:ptCount val="2"/>
                <c:pt idx="0">
                  <c:v>Q1</c:v>
                </c:pt>
                <c:pt idx="1">
                  <c:v>Q2</c:v>
                </c:pt>
              </c:strCache>
            </c:strRef>
          </c:cat>
          <c:val>
            <c:numRef>
              <c:f>Analysis!$K$47:$K$48</c:f>
              <c:numCache>
                <c:formatCode>0%</c:formatCode>
                <c:ptCount val="2"/>
                <c:pt idx="0">
                  <c:v>1</c:v>
                </c:pt>
                <c:pt idx="1">
                  <c:v>0.63600000000000001</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Analysis!$J$47:$J$48</c:f>
              <c:strCache>
                <c:ptCount val="2"/>
                <c:pt idx="0">
                  <c:v>Q1</c:v>
                </c:pt>
                <c:pt idx="1">
                  <c:v>Q2</c:v>
                </c:pt>
              </c:strCache>
            </c:strRef>
          </c:cat>
          <c:val>
            <c:numRef>
              <c:f>Analysis!$L$47:$L$48</c:f>
              <c:numCache>
                <c:formatCode>0%</c:formatCode>
                <c:ptCount val="2"/>
                <c:pt idx="0">
                  <c:v>0</c:v>
                </c:pt>
                <c:pt idx="1">
                  <c:v>0.36399999999999999</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12</c:v>
                </c:pt>
                <c:pt idx="1">
                  <c:v>9</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Analysis!$Z$47:$Z$48</c:f>
              <c:strCache>
                <c:ptCount val="2"/>
                <c:pt idx="0">
                  <c:v>Q1</c:v>
                </c:pt>
                <c:pt idx="1">
                  <c:v>Q2</c:v>
                </c:pt>
              </c:strCache>
            </c:strRef>
          </c:cat>
          <c:val>
            <c:numRef>
              <c:f>Analysis!$AA$47:$AA$48</c:f>
              <c:numCache>
                <c:formatCode>0%</c:formatCode>
                <c:ptCount val="2"/>
                <c:pt idx="0">
                  <c:v>0.99</c:v>
                </c:pt>
                <c:pt idx="1">
                  <c:v>0.46833333333333332</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Analysis!$Z$47:$Z$48</c:f>
              <c:strCache>
                <c:ptCount val="2"/>
                <c:pt idx="0">
                  <c:v>Q1</c:v>
                </c:pt>
                <c:pt idx="1">
                  <c:v>Q2</c:v>
                </c:pt>
              </c:strCache>
            </c:strRef>
          </c:cat>
          <c:val>
            <c:numRef>
              <c:f>Analysis!$AB$47:$AB$48</c:f>
              <c:numCache>
                <c:formatCode>0%</c:formatCode>
                <c:ptCount val="2"/>
                <c:pt idx="0">
                  <c:v>1.0000000000000009E-2</c:v>
                </c:pt>
                <c:pt idx="1">
                  <c:v>0.53166666666666673</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0.99750000000000005</c:v>
                </c:pt>
                <c:pt idx="1">
                  <c:v>0.92562500000000003</c:v>
                </c:pt>
                <c:pt idx="2">
                  <c:v>0.63687499999999997</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2.4999999999999467E-3</c:v>
                </c:pt>
                <c:pt idx="1">
                  <c:v>7.4374999999999969E-2</c:v>
                </c:pt>
                <c:pt idx="2">
                  <c:v>0.36312500000000003</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HRP!$O$16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HRP!$O$17:$O$19</c:f>
              <c:numCache>
                <c:formatCode>0%</c:formatCode>
                <c:ptCount val="3"/>
                <c:pt idx="0" formatCode="0.0%">
                  <c:v>0.53132633923392669</c:v>
                </c:pt>
                <c:pt idx="1">
                  <c:v>0.57556296840806276</c:v>
                </c:pt>
                <c:pt idx="2">
                  <c:v>0.75357298586143118</c:v>
                </c:pt>
              </c:numCache>
            </c:numRef>
          </c:val>
          <c:extLst>
            <c:ext xmlns:c16="http://schemas.microsoft.com/office/drawing/2014/chart" uri="{C3380CC4-5D6E-409C-BE32-E72D297353CC}">
              <c16:uniqueId val="{00000000-78ED-4C56-BA32-1282FB4F42D0}"/>
            </c:ext>
          </c:extLst>
        </c:ser>
        <c:ser>
          <c:idx val="1"/>
          <c:order val="1"/>
          <c:tx>
            <c:strRef>
              <c:f>HRP!$P$16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0.46867366076607331</c:v>
                </c:pt>
                <c:pt idx="1">
                  <c:v>0.42443703159193724</c:v>
                </c:pt>
                <c:pt idx="2">
                  <c:v>0.24642701413856882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641</c:v>
                </c:pt>
                <c:pt idx="1">
                  <c:v>15771</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0.76294117647058823</c:v>
                </c:pt>
                <c:pt idx="1">
                  <c:v>0.8443750000000001</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0.23705882352941177</c:v>
                </c:pt>
                <c:pt idx="1">
                  <c:v>0.1556249999999999</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Analysis!$C$359</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Analysis!$B$360:$B$363</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Analysis!$C$360:$C$363</c:f>
              <c:numCache>
                <c:formatCode>0%</c:formatCode>
                <c:ptCount val="4"/>
                <c:pt idx="0">
                  <c:v>0.96875000000000011</c:v>
                </c:pt>
                <c:pt idx="1">
                  <c:v>0.92428571428571427</c:v>
                </c:pt>
                <c:pt idx="2">
                  <c:v>0.87249999999999994</c:v>
                </c:pt>
                <c:pt idx="3">
                  <c:v>0.98199999999999998</c:v>
                </c:pt>
              </c:numCache>
            </c:numRef>
          </c:val>
          <c:extLst>
            <c:ext xmlns:c16="http://schemas.microsoft.com/office/drawing/2014/chart" uri="{C3380CC4-5D6E-409C-BE32-E72D297353CC}">
              <c16:uniqueId val="{00000000-F9D3-49B0-84FE-3DC0B87CEE6D}"/>
            </c:ext>
          </c:extLst>
        </c:ser>
        <c:ser>
          <c:idx val="1"/>
          <c:order val="1"/>
          <c:tx>
            <c:strRef>
              <c:f>Analysis!$D$359</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Analysis!$B$360:$B$363</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Analysis!$D$360:$D$363</c:f>
              <c:numCache>
                <c:formatCode>0%</c:formatCode>
                <c:ptCount val="4"/>
                <c:pt idx="0">
                  <c:v>3.1249999999999889E-2</c:v>
                </c:pt>
                <c:pt idx="1">
                  <c:v>7.5714285714285734E-2</c:v>
                </c:pt>
                <c:pt idx="2">
                  <c:v>0.12750000000000006</c:v>
                </c:pt>
                <c:pt idx="3">
                  <c:v>1.8000000000000016E-2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63257</c:v>
                </c:pt>
                <c:pt idx="1">
                  <c:v>16012</c:v>
                </c:pt>
                <c:pt idx="2">
                  <c:v>21058</c:v>
                </c:pt>
                <c:pt idx="3">
                  <c:v>10092</c:v>
                </c:pt>
                <c:pt idx="4">
                  <c:v>9569</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Analysis!$L$314</c:f>
              <c:strCache>
                <c:ptCount val="1"/>
                <c:pt idx="0">
                  <c:v>Number of women, men, girls and boys accessing WASH services in temporary health facilities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Analysis!$N$314:$O$314</c:f>
              <c:numCache>
                <c:formatCode>General</c:formatCode>
                <c:ptCount val="2"/>
                <c:pt idx="0">
                  <c:v>600</c:v>
                </c:pt>
                <c:pt idx="1">
                  <c:v>5960.4299999999994</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1236</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75</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1090</c:v>
                </c:pt>
                <c:pt idx="3">
                  <c:v>4107</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152</c:v>
                </c:pt>
                <c:pt idx="3">
                  <c:v>450</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4557</c:v>
                </c:pt>
              </c:numCache>
            </c:numRef>
          </c:val>
          <c:extLst>
            <c:ext xmlns:c16="http://schemas.microsoft.com/office/drawing/2014/chart" uri="{C3380CC4-5D6E-409C-BE32-E72D297353CC}">
              <c16:uniqueId val="{00000001-E821-4A8A-895B-6FAC610C53E9}"/>
            </c:ext>
          </c:extLst>
        </c:ser>
        <c:ser>
          <c:idx val="1"/>
          <c:order val="1"/>
          <c:tx>
            <c:strRef>
              <c:f>Analysis!$R$121</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1090</c:v>
                </c:pt>
                <c:pt idx="3">
                  <c:v>4107</c:v>
                </c:pt>
              </c:numCache>
            </c:numRef>
          </c:val>
          <c:extLst>
            <c:ext xmlns:c16="http://schemas.microsoft.com/office/drawing/2014/chart" uri="{C3380CC4-5D6E-409C-BE32-E72D297353CC}">
              <c16:uniqueId val="{00000002-E821-4A8A-895B-6FAC610C53E9}"/>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11.531914893617021</c:v>
                </c:pt>
                <c:pt idx="1">
                  <c:v>4.5482866043613708</c:v>
                </c:pt>
                <c:pt idx="2">
                  <c:v>22.784403669724771</c:v>
                </c:pt>
                <c:pt idx="3">
                  <c:v>22.193571950328707</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Analysis!$Q$314</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Analysis!$S$314:$T$314</c:f>
              <c:numCache>
                <c:formatCode>General</c:formatCode>
                <c:ptCount val="2"/>
                <c:pt idx="0">
                  <c:v>7400</c:v>
                </c:pt>
                <c:pt idx="1">
                  <c:v>3534.0500000000011</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2022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600</c:v>
                </c:pt>
                <c:pt idx="1">
                  <c:v>7400</c:v>
                </c:pt>
                <c:pt idx="2">
                  <c:v>35413</c:v>
                </c:pt>
                <c:pt idx="3">
                  <c:v>385826.77402674593</c:v>
                </c:pt>
                <c:pt idx="4">
                  <c:v>159629</c:v>
                </c:pt>
                <c:pt idx="5">
                  <c:v>240868</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5960.4299999999994</c:v>
                </c:pt>
                <c:pt idx="1">
                  <c:v>3534.0500000000011</c:v>
                </c:pt>
                <c:pt idx="2">
                  <c:v>22347.085675779846</c:v>
                </c:pt>
                <c:pt idx="3">
                  <c:v>126169.78273105255</c:v>
                </c:pt>
                <c:pt idx="4">
                  <c:v>117715.1113515597</c:v>
                </c:pt>
                <c:pt idx="5">
                  <c:v>212465.44540623878</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8A29-4A30-AC46-69CD52F25EF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844538837981573"/>
          <c:h val="0.132693937391107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2022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7400</c:v>
                </c:pt>
                <c:pt idx="2">
                  <c:v>2515</c:v>
                </c:pt>
                <c:pt idx="3">
                  <c:v>159476.77402674593</c:v>
                </c:pt>
                <c:pt idx="4">
                  <c:v>132576</c:v>
                </c:pt>
                <c:pt idx="5">
                  <c:v>153715</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3534.0500000000011</c:v>
                </c:pt>
                <c:pt idx="2">
                  <c:v>25913.530000000002</c:v>
                </c:pt>
                <c:pt idx="3">
                  <c:v>59204.22597325407</c:v>
                </c:pt>
                <c:pt idx="4">
                  <c:v>86105</c:v>
                </c:pt>
                <c:pt idx="5">
                  <c:v>64966</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Analysis!$C$317</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Analysis!$C$318</c:f>
              <c:numCache>
                <c:formatCode>_(* #,##0_);_(* \(#,##0\);_(* "-"??_);_(@_)</c:formatCode>
                <c:ptCount val="1"/>
                <c:pt idx="0">
                  <c:v>121</c:v>
                </c:pt>
              </c:numCache>
            </c:numRef>
          </c:val>
          <c:extLst>
            <c:ext xmlns:c16="http://schemas.microsoft.com/office/drawing/2014/chart" uri="{C3380CC4-5D6E-409C-BE32-E72D297353CC}">
              <c16:uniqueId val="{00000001-8969-4196-B217-7CF53BAA8E96}"/>
            </c:ext>
          </c:extLst>
        </c:ser>
        <c:ser>
          <c:idx val="1"/>
          <c:order val="1"/>
          <c:tx>
            <c:strRef>
              <c:f>Analysis!$D$317</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Analysis!$D$318</c:f>
              <c:numCache>
                <c:formatCode>_(* #,##0_);_(* \(#,##0\);_(* "-"??_);_(@_)</c:formatCode>
                <c:ptCount val="1"/>
                <c:pt idx="0">
                  <c:v>1</c:v>
                </c:pt>
              </c:numCache>
            </c:numRef>
          </c:val>
          <c:extLst>
            <c:ext xmlns:c16="http://schemas.microsoft.com/office/drawing/2014/chart" uri="{C3380CC4-5D6E-409C-BE32-E72D297353CC}">
              <c16:uniqueId val="{00000002-8969-4196-B217-7CF53BAA8E96}"/>
            </c:ext>
          </c:extLst>
        </c:ser>
        <c:ser>
          <c:idx val="2"/>
          <c:order val="2"/>
          <c:tx>
            <c:strRef>
              <c:f>Analysis!$E$317</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Analysis!$E$318</c:f>
              <c:numCache>
                <c:formatCode>_(* #,##0_);_(* \(#,##0\);_(* "-"??_);_(@_)</c:formatCode>
                <c:ptCount val="1"/>
                <c:pt idx="0">
                  <c:v>54</c:v>
                </c:pt>
              </c:numCache>
            </c:numRef>
          </c:val>
          <c:extLst>
            <c:ext xmlns:c16="http://schemas.microsoft.com/office/drawing/2014/chart" uri="{C3380CC4-5D6E-409C-BE32-E72D297353CC}">
              <c16:uniqueId val="{00000003-8969-4196-B217-7CF53BAA8E96}"/>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56731</c:v>
                </c:pt>
                <c:pt idx="1">
                  <c:v>22765</c:v>
                </c:pt>
                <c:pt idx="2">
                  <c:v>39306</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63257</c:v>
                </c:pt>
                <c:pt idx="1">
                  <c:v>343</c:v>
                </c:pt>
                <c:pt idx="2">
                  <c:v>0</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0.76294117647058823</c:v>
                </c:pt>
                <c:pt idx="1">
                  <c:v>0.8443750000000001</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0.23705882352941177</c:v>
                </c:pt>
                <c:pt idx="1">
                  <c:v>0.1556249999999999</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4089375539528248E-2"/>
                  <c:y val="-0.1246465396589644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63257</c:v>
                </c:pt>
                <c:pt idx="1">
                  <c:v>16012</c:v>
                </c:pt>
                <c:pt idx="2">
                  <c:v>21058</c:v>
                </c:pt>
                <c:pt idx="3">
                  <c:v>10092</c:v>
                </c:pt>
                <c:pt idx="4">
                  <c:v>9569</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0.99750000000000005</c:v>
                </c:pt>
                <c:pt idx="1">
                  <c:v>0.92562500000000003</c:v>
                </c:pt>
                <c:pt idx="2">
                  <c:v>0.63687499999999997</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2.4999999999999467E-3</c:v>
                </c:pt>
                <c:pt idx="1">
                  <c:v>7.4374999999999969E-2</c:v>
                </c:pt>
                <c:pt idx="2">
                  <c:v>0.36312500000000003</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641</c:v>
                </c:pt>
                <c:pt idx="1">
                  <c:v>15771</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tx>
            <c:strRef>
              <c:f>Analysis!$L$314</c:f>
              <c:strCache>
                <c:ptCount val="1"/>
                <c:pt idx="0">
                  <c:v>Number of women, men, girls and boys accessing WASH services in temporary health facilities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Analysis!$N$314:$O$314</c:f>
              <c:numCache>
                <c:formatCode>General</c:formatCode>
                <c:ptCount val="2"/>
                <c:pt idx="0">
                  <c:v>600</c:v>
                </c:pt>
                <c:pt idx="1">
                  <c:v>5960.4299999999994</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56731</c:v>
                </c:pt>
                <c:pt idx="1">
                  <c:v>22765</c:v>
                </c:pt>
                <c:pt idx="2">
                  <c:v>39306</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63257</c:v>
                </c:pt>
                <c:pt idx="1">
                  <c:v>343</c:v>
                </c:pt>
                <c:pt idx="2">
                  <c:v>0</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Q2-2022</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1323338431364431E-2"/>
          <c:y val="0.25471818012288833"/>
          <c:w val="0.41781983735604472"/>
          <c:h val="0.49331934355136947"/>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15</c:v>
                </c:pt>
                <c:pt idx="1">
                  <c:v>6</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Q2-2022</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0497386249105503E-2"/>
          <c:y val="0.24180015521951831"/>
          <c:w val="0.42021292803110644"/>
          <c:h val="0.4961450093990936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0.1828256326193656"/>
                  <c:y val="-1.607696179610705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12</c:v>
                </c:pt>
                <c:pt idx="1">
                  <c:v>9</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dLbl>
              <c:idx val="1"/>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1083-44F7-869D-995C3B2D1B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Analysis!$J$47:$J$48</c:f>
              <c:strCache>
                <c:ptCount val="2"/>
                <c:pt idx="0">
                  <c:v>Q1</c:v>
                </c:pt>
                <c:pt idx="1">
                  <c:v>Q2</c:v>
                </c:pt>
              </c:strCache>
            </c:strRef>
          </c:cat>
          <c:val>
            <c:numRef>
              <c:f>Analysis!$K$47:$K$48</c:f>
              <c:numCache>
                <c:formatCode>0%</c:formatCode>
                <c:ptCount val="2"/>
                <c:pt idx="0">
                  <c:v>1</c:v>
                </c:pt>
                <c:pt idx="1">
                  <c:v>0.63600000000000001</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Analysis!$J$47:$J$48</c:f>
              <c:strCache>
                <c:ptCount val="2"/>
                <c:pt idx="0">
                  <c:v>Q1</c:v>
                </c:pt>
                <c:pt idx="1">
                  <c:v>Q2</c:v>
                </c:pt>
              </c:strCache>
            </c:strRef>
          </c:cat>
          <c:val>
            <c:numRef>
              <c:f>Analysis!$L$47:$L$48</c:f>
              <c:numCache>
                <c:formatCode>0%</c:formatCode>
                <c:ptCount val="2"/>
                <c:pt idx="0">
                  <c:v>0</c:v>
                </c:pt>
                <c:pt idx="1">
                  <c:v>0.36399999999999999</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dLbl>
              <c:idx val="0"/>
              <c:layout>
                <c:manualLayout>
                  <c:x val="6.8832184525233894E-3"/>
                  <c:y val="-5.303297755135302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1883758144222302"/>
                      <c:h val="0.35233522205867313"/>
                    </c:manualLayout>
                  </c15:layout>
                </c:ext>
                <c:ext xmlns:c16="http://schemas.microsoft.com/office/drawing/2014/chart" uri="{C3380CC4-5D6E-409C-BE32-E72D297353CC}">
                  <c16:uniqueId val="{00000000-EFD8-4D48-8F3C-99D4E359D3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Analysis!$Z$47:$Z$48</c:f>
              <c:strCache>
                <c:ptCount val="2"/>
                <c:pt idx="0">
                  <c:v>Q1</c:v>
                </c:pt>
                <c:pt idx="1">
                  <c:v>Q2</c:v>
                </c:pt>
              </c:strCache>
            </c:strRef>
          </c:cat>
          <c:val>
            <c:numRef>
              <c:f>Analysis!$AA$47:$AA$48</c:f>
              <c:numCache>
                <c:formatCode>0%</c:formatCode>
                <c:ptCount val="2"/>
                <c:pt idx="0">
                  <c:v>0.99</c:v>
                </c:pt>
                <c:pt idx="1">
                  <c:v>0.46833333333333332</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Analysis!$Z$47:$Z$48</c:f>
              <c:strCache>
                <c:ptCount val="2"/>
                <c:pt idx="0">
                  <c:v>Q1</c:v>
                </c:pt>
                <c:pt idx="1">
                  <c:v>Q2</c:v>
                </c:pt>
              </c:strCache>
            </c:strRef>
          </c:cat>
          <c:val>
            <c:numRef>
              <c:f>Analysis!$AB$47:$AB$48</c:f>
              <c:numCache>
                <c:formatCode>0%</c:formatCode>
                <c:ptCount val="2"/>
                <c:pt idx="0">
                  <c:v>1.0000000000000009E-2</c:v>
                </c:pt>
                <c:pt idx="1">
                  <c:v>0.53166666666666673</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1236</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75</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4557</c:v>
                </c:pt>
              </c:numCache>
            </c:numRef>
          </c:val>
          <c:extLst>
            <c:ext xmlns:c16="http://schemas.microsoft.com/office/drawing/2014/chart" uri="{C3380CC4-5D6E-409C-BE32-E72D297353CC}">
              <c16:uniqueId val="{00000001-0AF5-4655-A39B-D841DD8CDB0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1090</c:v>
                </c:pt>
                <c:pt idx="3">
                  <c:v>4107</c:v>
                </c:pt>
              </c:numCache>
            </c:numRef>
          </c:val>
          <c:extLst>
            <c:ext xmlns:c16="http://schemas.microsoft.com/office/drawing/2014/chart" uri="{C3380CC4-5D6E-409C-BE32-E72D297353CC}">
              <c16:uniqueId val="{00000002-0AF5-4655-A39B-D841DD8CDB0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5933</c:v>
                </c:pt>
                <c:pt idx="1">
                  <c:v>624</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1090</c:v>
                </c:pt>
                <c:pt idx="3">
                  <c:v>4107</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152</c:v>
                </c:pt>
                <c:pt idx="3">
                  <c:v>450</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Analysis!$L$353:$L$354</c:f>
              <c:strCache>
                <c:ptCount val="1"/>
                <c:pt idx="0">
                  <c:v>2022_Q1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Analysis!$K$355:$K$358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Analysis!$L$355:$L$358</c:f>
              <c:numCache>
                <c:formatCode>0%</c:formatCode>
                <c:ptCount val="4"/>
                <c:pt idx="0">
                  <c:v>0.96142857142857152</c:v>
                </c:pt>
                <c:pt idx="1">
                  <c:v>0.97428571428571431</c:v>
                </c:pt>
                <c:pt idx="2">
                  <c:v>0.93285714285714272</c:v>
                </c:pt>
                <c:pt idx="3">
                  <c:v>0.96714285714285719</c:v>
                </c:pt>
              </c:numCache>
            </c:numRef>
          </c:val>
          <c:extLst>
            <c:ext xmlns:c16="http://schemas.microsoft.com/office/drawing/2014/chart" uri="{C3380CC4-5D6E-409C-BE32-E72D297353CC}">
              <c16:uniqueId val="{00000000-1CB0-4432-AF45-FEC7FFD614CC}"/>
            </c:ext>
          </c:extLst>
        </c:ser>
        <c:ser>
          <c:idx val="1"/>
          <c:order val="1"/>
          <c:tx>
            <c:strRef>
              <c:f>Analysis!$M$353:$M$354</c:f>
              <c:strCache>
                <c:ptCount val="1"/>
                <c:pt idx="0">
                  <c:v>2022_Q2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Analysis!$K$355:$K$358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Analysis!$M$355:$M$358</c:f>
              <c:numCache>
                <c:formatCode>0%</c:formatCode>
                <c:ptCount val="4"/>
                <c:pt idx="0">
                  <c:v>0.96874999999999989</c:v>
                </c:pt>
                <c:pt idx="1">
                  <c:v>0.92428571428571427</c:v>
                </c:pt>
                <c:pt idx="2">
                  <c:v>0.87250000000000005</c:v>
                </c:pt>
                <c:pt idx="3">
                  <c:v>0.98199999999999998</c:v>
                </c:pt>
              </c:numCache>
            </c:numRef>
          </c:val>
          <c:extLst>
            <c:ext xmlns:c16="http://schemas.microsoft.com/office/drawing/2014/chart" uri="{C3380CC4-5D6E-409C-BE32-E72D297353CC}">
              <c16:uniqueId val="{00000000-F55B-4EBA-A227-F166BE2BA2AD}"/>
            </c:ext>
          </c:extLst>
        </c:ser>
        <c:dLbls>
          <c:showLegendKey val="0"/>
          <c:showVal val="0"/>
          <c:showCatName val="0"/>
          <c:showSerName val="0"/>
          <c:showPercent val="0"/>
          <c:showBubbleSize val="0"/>
        </c:dLbls>
        <c:gapWidth val="10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a:t>
            </a:r>
            <a:r>
              <a:rPr lang="en-US" sz="1400" baseline="0"/>
              <a:t> adult l</a:t>
            </a:r>
            <a:r>
              <a:rPr lang="en-US" sz="1400"/>
              <a:t>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dLbl>
              <c:idx val="1"/>
              <c:layout>
                <c:manualLayout>
                  <c:x val="-4.5931212395587244E-17"/>
                  <c:y val="0.121808211473565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20C-B25F-AC58E9CA63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11.531914893617021</c:v>
                </c:pt>
                <c:pt idx="1">
                  <c:v>4.5482866043613708</c:v>
                </c:pt>
                <c:pt idx="2">
                  <c:v>22.784403669724771</c:v>
                </c:pt>
                <c:pt idx="3">
                  <c:v>22.193571950328707</c:v>
                </c:pt>
              </c:numCache>
            </c:numRef>
          </c:val>
          <c:extLst>
            <c:ext xmlns:c16="http://schemas.microsoft.com/office/drawing/2014/chart" uri="{C3380CC4-5D6E-409C-BE32-E72D297353CC}">
              <c16:uniqueId val="{00000000-9662-4B42-9662-25B5CFD36952}"/>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Analysis!$Q$314</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Analysis!$S$314:$T$314</c:f>
              <c:numCache>
                <c:formatCode>General</c:formatCode>
                <c:ptCount val="2"/>
                <c:pt idx="0">
                  <c:v>7400</c:v>
                </c:pt>
                <c:pt idx="1">
                  <c:v>3534.0500000000011</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0.90146246162785182</c:v>
              </c:pt>
            </c:numLit>
          </c:val>
          <c:extLst>
            <c:ext xmlns:c16="http://schemas.microsoft.com/office/drawing/2014/chart" uri="{C3380CC4-5D6E-409C-BE32-E72D297353CC}">
              <c16:uniqueId val="{00000000-CB8A-437B-A916-0F70D699341A}"/>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5.6674861234776774E-2</c:v>
              </c:pt>
            </c:numLit>
          </c:val>
          <c:extLst>
            <c:ext xmlns:c16="http://schemas.microsoft.com/office/drawing/2014/chart" uri="{C3380CC4-5D6E-409C-BE32-E72D297353CC}">
              <c16:uniqueId val="{00000001-CB8A-437B-A916-0F70D699341A}"/>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4.1862677137371448E-2</c:v>
              </c:pt>
            </c:numLit>
          </c:val>
          <c:extLst>
            <c:ext xmlns:c16="http://schemas.microsoft.com/office/drawing/2014/chart" uri="{C3380CC4-5D6E-409C-BE32-E72D297353CC}">
              <c16:uniqueId val="{00000002-CB8A-437B-A916-0F70D699341A}"/>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2022-Q2(US$)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0-4AD7-9AEA-993B39D5C34B}"/>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4727300.767016477</c:v>
                </c:pt>
              </c:numCache>
            </c:numRef>
          </c:val>
          <c:extLst>
            <c:ext xmlns:c16="http://schemas.microsoft.com/office/drawing/2014/chart" uri="{C3380CC4-5D6E-409C-BE32-E72D297353CC}">
              <c16:uniqueId val="{00000001-B1C0-4AD7-9AEA-993B39D5C34B}"/>
            </c:ext>
          </c:extLst>
        </c:ser>
        <c:ser>
          <c:idx val="1"/>
          <c:order val="1"/>
          <c:tx>
            <c:strRef>
              <c:f>'[5]Rakhine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C0-4AD7-9AEA-993B39D5C34B}"/>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1692706.0511339386</c:v>
                </c:pt>
              </c:numCache>
            </c:numRef>
          </c:val>
          <c:extLst>
            <c:ext xmlns:c16="http://schemas.microsoft.com/office/drawing/2014/chart" uri="{C3380CC4-5D6E-409C-BE32-E72D297353CC}">
              <c16:uniqueId val="{00000003-B1C0-4AD7-9AEA-993B39D5C34B}"/>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46334677.692300446</c:v>
                </c:pt>
              </c:numCache>
            </c:numRef>
          </c:val>
          <c:extLst>
            <c:ext xmlns:c16="http://schemas.microsoft.com/office/drawing/2014/chart" uri="{C3380CC4-5D6E-409C-BE32-E72D297353CC}">
              <c16:uniqueId val="{00000004-B1C0-4AD7-9AEA-993B39D5C34B}"/>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15580695.542950964</c:v>
              </c:pt>
              <c:pt idx="1">
                <c:v>12050813.337857373</c:v>
              </c:pt>
              <c:pt idx="2">
                <c:v>9943345.2996201273</c:v>
              </c:pt>
              <c:pt idx="3">
                <c:v>11762621.003452344</c:v>
              </c:pt>
              <c:pt idx="4">
                <c:v>9174187.4809060954</c:v>
              </c:pt>
              <c:pt idx="5">
                <c:v>8549752.3292582743</c:v>
              </c:pt>
              <c:pt idx="6">
                <c:v>9609627.3776423614</c:v>
              </c:pt>
              <c:pt idx="7">
                <c:v>12113960.298222402</c:v>
              </c:pt>
              <c:pt idx="8">
                <c:v>10197973.249154741</c:v>
              </c:pt>
              <c:pt idx="9">
                <c:v>6420006.818150416</c:v>
              </c:pt>
            </c:numLit>
          </c:val>
          <c:smooth val="0"/>
          <c:extLst>
            <c:ext xmlns:c16="http://schemas.microsoft.com/office/drawing/2014/chart" uri="{C3380CC4-5D6E-409C-BE32-E72D297353CC}">
              <c16:uniqueId val="{00000000-A18A-44E6-9569-08F119F99154}"/>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2151</c:v>
                </c:pt>
                <c:pt idx="1">
                  <c:v>5840</c:v>
                </c:pt>
                <c:pt idx="2">
                  <c:v>49319</c:v>
                </c:pt>
                <c:pt idx="3">
                  <c:v>178023</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2151</c:v>
                </c:pt>
                <c:pt idx="1">
                  <c:v>0</c:v>
                </c:pt>
                <c:pt idx="2">
                  <c:v>52303</c:v>
                </c:pt>
                <c:pt idx="3">
                  <c:v>116109.77402674592</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2151</c:v>
                </c:pt>
                <c:pt idx="1">
                  <c:v>5840</c:v>
                </c:pt>
                <c:pt idx="2">
                  <c:v>38074</c:v>
                </c:pt>
                <c:pt idx="3">
                  <c:v>154348</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2151</c:v>
                </c:pt>
                <c:pt idx="1">
                  <c:v>3000.0000000000005</c:v>
                </c:pt>
                <c:pt idx="2">
                  <c:v>49319</c:v>
                </c:pt>
                <c:pt idx="3">
                  <c:v>178023</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[20220727_Myanmar_WASH_4W_2022_Q2_Rakhine_camp_Consolidate.xlsx]By Camps!PivotTable1</c:name>
    <c:fmtId val="4"/>
  </c:pivotSource>
  <c:chart>
    <c:title>
      <c:tx>
        <c:strRef>
          <c:f>'By Camps'!$B$34</c:f>
          <c:strCache>
            <c:ptCount val="1"/>
            <c:pt idx="0">
              <c:v>2022_Q2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1084</c:v>
                </c:pt>
                <c:pt idx="6">
                  <c:v>6680</c:v>
                </c:pt>
                <c:pt idx="7">
                  <c:v>3486</c:v>
                </c:pt>
                <c:pt idx="8">
                  <c:v>5024</c:v>
                </c:pt>
                <c:pt idx="9">
                  <c:v>5137</c:v>
                </c:pt>
                <c:pt idx="10">
                  <c:v>3095</c:v>
                </c:pt>
                <c:pt idx="11">
                  <c:v>13302</c:v>
                </c:pt>
                <c:pt idx="12">
                  <c:v>12495</c:v>
                </c:pt>
                <c:pt idx="13">
                  <c:v>11564</c:v>
                </c:pt>
                <c:pt idx="14">
                  <c:v>2861</c:v>
                </c:pt>
                <c:pt idx="15">
                  <c:v>2920</c:v>
                </c:pt>
                <c:pt idx="16">
                  <c:v>6016</c:v>
                </c:pt>
                <c:pt idx="17">
                  <c:v>5950</c:v>
                </c:pt>
                <c:pt idx="18">
                  <c:v>2262</c:v>
                </c:pt>
                <c:pt idx="19">
                  <c:v>2248</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8630.7340267459131</c:v>
                </c:pt>
                <c:pt idx="4">
                  <c:v>11715</c:v>
                </c:pt>
                <c:pt idx="5">
                  <c:v>1084</c:v>
                </c:pt>
                <c:pt idx="6">
                  <c:v>6680</c:v>
                </c:pt>
                <c:pt idx="7">
                  <c:v>3486</c:v>
                </c:pt>
                <c:pt idx="8">
                  <c:v>5024</c:v>
                </c:pt>
                <c:pt idx="9">
                  <c:v>5137</c:v>
                </c:pt>
                <c:pt idx="10">
                  <c:v>3095</c:v>
                </c:pt>
                <c:pt idx="11">
                  <c:v>13302</c:v>
                </c:pt>
                <c:pt idx="12">
                  <c:v>12495</c:v>
                </c:pt>
                <c:pt idx="13">
                  <c:v>11564</c:v>
                </c:pt>
                <c:pt idx="14">
                  <c:v>4693</c:v>
                </c:pt>
                <c:pt idx="15">
                  <c:v>0</c:v>
                </c:pt>
                <c:pt idx="16">
                  <c:v>6016</c:v>
                </c:pt>
                <c:pt idx="17">
                  <c:v>5950</c:v>
                </c:pt>
                <c:pt idx="18">
                  <c:v>2262</c:v>
                </c:pt>
                <c:pt idx="19">
                  <c:v>2203.04</c:v>
                </c:pt>
                <c:pt idx="20">
                  <c:v>2698</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4516</c:v>
                </c:pt>
                <c:pt idx="1">
                  <c:v>2300</c:v>
                </c:pt>
                <c:pt idx="2">
                  <c:v>4500</c:v>
                </c:pt>
                <c:pt idx="3">
                  <c:v>4800</c:v>
                </c:pt>
                <c:pt idx="4">
                  <c:v>8920</c:v>
                </c:pt>
                <c:pt idx="5">
                  <c:v>1084</c:v>
                </c:pt>
                <c:pt idx="6">
                  <c:v>5074</c:v>
                </c:pt>
                <c:pt idx="7">
                  <c:v>2922</c:v>
                </c:pt>
                <c:pt idx="8">
                  <c:v>3687</c:v>
                </c:pt>
                <c:pt idx="9">
                  <c:v>4031</c:v>
                </c:pt>
                <c:pt idx="10">
                  <c:v>3095</c:v>
                </c:pt>
                <c:pt idx="11">
                  <c:v>12960</c:v>
                </c:pt>
                <c:pt idx="12">
                  <c:v>12495</c:v>
                </c:pt>
                <c:pt idx="13">
                  <c:v>9871</c:v>
                </c:pt>
                <c:pt idx="14">
                  <c:v>2861</c:v>
                </c:pt>
                <c:pt idx="15">
                  <c:v>2920</c:v>
                </c:pt>
                <c:pt idx="16">
                  <c:v>4440</c:v>
                </c:pt>
                <c:pt idx="17">
                  <c:v>5578</c:v>
                </c:pt>
                <c:pt idx="18">
                  <c:v>1820</c:v>
                </c:pt>
                <c:pt idx="19">
                  <c:v>1989</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1084</c:v>
                </c:pt>
                <c:pt idx="6">
                  <c:v>6680</c:v>
                </c:pt>
                <c:pt idx="7">
                  <c:v>3486</c:v>
                </c:pt>
                <c:pt idx="8">
                  <c:v>5024</c:v>
                </c:pt>
                <c:pt idx="9">
                  <c:v>5137</c:v>
                </c:pt>
                <c:pt idx="10">
                  <c:v>3095</c:v>
                </c:pt>
                <c:pt idx="11">
                  <c:v>13302</c:v>
                </c:pt>
                <c:pt idx="12">
                  <c:v>12495</c:v>
                </c:pt>
                <c:pt idx="13">
                  <c:v>11564</c:v>
                </c:pt>
                <c:pt idx="14">
                  <c:v>2861</c:v>
                </c:pt>
                <c:pt idx="15">
                  <c:v>1500.0000000000002</c:v>
                </c:pt>
                <c:pt idx="16">
                  <c:v>6016</c:v>
                </c:pt>
                <c:pt idx="17">
                  <c:v>5950</c:v>
                </c:pt>
                <c:pt idx="18">
                  <c:v>2262</c:v>
                </c:pt>
                <c:pt idx="19">
                  <c:v>2248</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[20220727_Myanmar_WASH_4W_2022_Q2_Rakhine_camp_Consolidate.xlsx]Tracking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Dashboard'!$L$5:$M$68</c:f>
              <c:multiLvlStrCache>
                <c:ptCount val="42"/>
                <c:lvl>
                  <c:pt idx="0">
                    <c:v>2022_Q1</c:v>
                  </c:pt>
                  <c:pt idx="1">
                    <c:v>2022_Q2</c:v>
                  </c:pt>
                  <c:pt idx="2">
                    <c:v>2022_Q1</c:v>
                  </c:pt>
                  <c:pt idx="3">
                    <c:v>2022_Q2</c:v>
                  </c:pt>
                  <c:pt idx="4">
                    <c:v>2022_Q1</c:v>
                  </c:pt>
                  <c:pt idx="5">
                    <c:v>2022_Q2</c:v>
                  </c:pt>
                  <c:pt idx="6">
                    <c:v>2022_Q1</c:v>
                  </c:pt>
                  <c:pt idx="7">
                    <c:v>2022_Q2</c:v>
                  </c:pt>
                  <c:pt idx="8">
                    <c:v>2022_Q1</c:v>
                  </c:pt>
                  <c:pt idx="9">
                    <c:v>2022_Q2</c:v>
                  </c:pt>
                  <c:pt idx="10">
                    <c:v>2022_Q1</c:v>
                  </c:pt>
                  <c:pt idx="11">
                    <c:v>2022_Q2</c:v>
                  </c:pt>
                  <c:pt idx="12">
                    <c:v>2022_Q1</c:v>
                  </c:pt>
                  <c:pt idx="13">
                    <c:v>2022_Q2</c:v>
                  </c:pt>
                  <c:pt idx="14">
                    <c:v>2022_Q1</c:v>
                  </c:pt>
                  <c:pt idx="15">
                    <c:v>2022_Q2</c:v>
                  </c:pt>
                  <c:pt idx="16">
                    <c:v>2022_Q1</c:v>
                  </c:pt>
                  <c:pt idx="17">
                    <c:v>2022_Q2</c:v>
                  </c:pt>
                  <c:pt idx="18">
                    <c:v>2022_Q1</c:v>
                  </c:pt>
                  <c:pt idx="19">
                    <c:v>2022_Q2</c:v>
                  </c:pt>
                  <c:pt idx="20">
                    <c:v>2022_Q1</c:v>
                  </c:pt>
                  <c:pt idx="21">
                    <c:v>2022_Q2</c:v>
                  </c:pt>
                  <c:pt idx="22">
                    <c:v>2022_Q1</c:v>
                  </c:pt>
                  <c:pt idx="23">
                    <c:v>2022_Q2</c:v>
                  </c:pt>
                  <c:pt idx="24">
                    <c:v>2022_Q1</c:v>
                  </c:pt>
                  <c:pt idx="25">
                    <c:v>2022_Q2</c:v>
                  </c:pt>
                  <c:pt idx="26">
                    <c:v>2022_Q1</c:v>
                  </c:pt>
                  <c:pt idx="27">
                    <c:v>2022_Q2</c:v>
                  </c:pt>
                  <c:pt idx="28">
                    <c:v>2022_Q1</c:v>
                  </c:pt>
                  <c:pt idx="29">
                    <c:v>2022_Q2</c:v>
                  </c:pt>
                  <c:pt idx="30">
                    <c:v>2022_Q1</c:v>
                  </c:pt>
                  <c:pt idx="31">
                    <c:v>2022_Q2</c:v>
                  </c:pt>
                  <c:pt idx="32">
                    <c:v>2022_Q1</c:v>
                  </c:pt>
                  <c:pt idx="33">
                    <c:v>2022_Q2</c:v>
                  </c:pt>
                  <c:pt idx="34">
                    <c:v>2022_Q1</c:v>
                  </c:pt>
                  <c:pt idx="35">
                    <c:v>2022_Q2</c:v>
                  </c:pt>
                  <c:pt idx="36">
                    <c:v>2022_Q1</c:v>
                  </c:pt>
                  <c:pt idx="37">
                    <c:v>2022_Q2</c:v>
                  </c:pt>
                  <c:pt idx="38">
                    <c:v>2022_Q1</c:v>
                  </c:pt>
                  <c:pt idx="39">
                    <c:v>2022_Q2</c:v>
                  </c:pt>
                  <c:pt idx="40">
                    <c:v>2022_Q1</c:v>
                  </c:pt>
                  <c:pt idx="41">
                    <c:v>2022_Q2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Dashboard'!$N$5:$N$68</c:f>
              <c:numCache>
                <c:formatCode>General</c:formatCode>
                <c:ptCount val="42"/>
                <c:pt idx="0">
                  <c:v>5133</c:v>
                </c:pt>
                <c:pt idx="1">
                  <c:v>5133</c:v>
                </c:pt>
                <c:pt idx="2">
                  <c:v>2139</c:v>
                </c:pt>
                <c:pt idx="3">
                  <c:v>2489</c:v>
                </c:pt>
                <c:pt idx="4">
                  <c:v>4875</c:v>
                </c:pt>
                <c:pt idx="5">
                  <c:v>5101</c:v>
                </c:pt>
                <c:pt idx="6">
                  <c:v>7033</c:v>
                </c:pt>
                <c:pt idx="7">
                  <c:v>8630.7340267459131</c:v>
                </c:pt>
                <c:pt idx="8">
                  <c:v>11056</c:v>
                </c:pt>
                <c:pt idx="9">
                  <c:v>11715</c:v>
                </c:pt>
                <c:pt idx="10">
                  <c:v>1067</c:v>
                </c:pt>
                <c:pt idx="11">
                  <c:v>1084</c:v>
                </c:pt>
                <c:pt idx="12">
                  <c:v>6674</c:v>
                </c:pt>
                <c:pt idx="13">
                  <c:v>6680</c:v>
                </c:pt>
                <c:pt idx="14">
                  <c:v>0</c:v>
                </c:pt>
                <c:pt idx="15">
                  <c:v>3486</c:v>
                </c:pt>
                <c:pt idx="16">
                  <c:v>5024</c:v>
                </c:pt>
                <c:pt idx="17">
                  <c:v>5024</c:v>
                </c:pt>
                <c:pt idx="18">
                  <c:v>5137</c:v>
                </c:pt>
                <c:pt idx="19">
                  <c:v>5137</c:v>
                </c:pt>
                <c:pt idx="20">
                  <c:v>0</c:v>
                </c:pt>
                <c:pt idx="21">
                  <c:v>3095</c:v>
                </c:pt>
                <c:pt idx="22">
                  <c:v>0</c:v>
                </c:pt>
                <c:pt idx="23">
                  <c:v>13302</c:v>
                </c:pt>
                <c:pt idx="24">
                  <c:v>0</c:v>
                </c:pt>
                <c:pt idx="25">
                  <c:v>12495</c:v>
                </c:pt>
                <c:pt idx="26">
                  <c:v>0</c:v>
                </c:pt>
                <c:pt idx="27">
                  <c:v>11564</c:v>
                </c:pt>
                <c:pt idx="28">
                  <c:v>3668</c:v>
                </c:pt>
                <c:pt idx="29">
                  <c:v>4693</c:v>
                </c:pt>
                <c:pt idx="30">
                  <c:v>0</c:v>
                </c:pt>
                <c:pt idx="31">
                  <c:v>0</c:v>
                </c:pt>
                <c:pt idx="32">
                  <c:v>0</c:v>
                </c:pt>
                <c:pt idx="33">
                  <c:v>6016</c:v>
                </c:pt>
                <c:pt idx="34">
                  <c:v>0</c:v>
                </c:pt>
                <c:pt idx="35">
                  <c:v>5950</c:v>
                </c:pt>
                <c:pt idx="36">
                  <c:v>0</c:v>
                </c:pt>
                <c:pt idx="37">
                  <c:v>2262</c:v>
                </c:pt>
                <c:pt idx="38">
                  <c:v>0</c:v>
                </c:pt>
                <c:pt idx="39">
                  <c:v>2203.04</c:v>
                </c:pt>
                <c:pt idx="40">
                  <c:v>0</c:v>
                </c:pt>
                <c:pt idx="41">
                  <c:v>2698</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Dashboard'!$L$5:$M$68</c:f>
              <c:multiLvlStrCache>
                <c:ptCount val="42"/>
                <c:lvl>
                  <c:pt idx="0">
                    <c:v>2022_Q1</c:v>
                  </c:pt>
                  <c:pt idx="1">
                    <c:v>2022_Q2</c:v>
                  </c:pt>
                  <c:pt idx="2">
                    <c:v>2022_Q1</c:v>
                  </c:pt>
                  <c:pt idx="3">
                    <c:v>2022_Q2</c:v>
                  </c:pt>
                  <c:pt idx="4">
                    <c:v>2022_Q1</c:v>
                  </c:pt>
                  <c:pt idx="5">
                    <c:v>2022_Q2</c:v>
                  </c:pt>
                  <c:pt idx="6">
                    <c:v>2022_Q1</c:v>
                  </c:pt>
                  <c:pt idx="7">
                    <c:v>2022_Q2</c:v>
                  </c:pt>
                  <c:pt idx="8">
                    <c:v>2022_Q1</c:v>
                  </c:pt>
                  <c:pt idx="9">
                    <c:v>2022_Q2</c:v>
                  </c:pt>
                  <c:pt idx="10">
                    <c:v>2022_Q1</c:v>
                  </c:pt>
                  <c:pt idx="11">
                    <c:v>2022_Q2</c:v>
                  </c:pt>
                  <c:pt idx="12">
                    <c:v>2022_Q1</c:v>
                  </c:pt>
                  <c:pt idx="13">
                    <c:v>2022_Q2</c:v>
                  </c:pt>
                  <c:pt idx="14">
                    <c:v>2022_Q1</c:v>
                  </c:pt>
                  <c:pt idx="15">
                    <c:v>2022_Q2</c:v>
                  </c:pt>
                  <c:pt idx="16">
                    <c:v>2022_Q1</c:v>
                  </c:pt>
                  <c:pt idx="17">
                    <c:v>2022_Q2</c:v>
                  </c:pt>
                  <c:pt idx="18">
                    <c:v>2022_Q1</c:v>
                  </c:pt>
                  <c:pt idx="19">
                    <c:v>2022_Q2</c:v>
                  </c:pt>
                  <c:pt idx="20">
                    <c:v>2022_Q1</c:v>
                  </c:pt>
                  <c:pt idx="21">
                    <c:v>2022_Q2</c:v>
                  </c:pt>
                  <c:pt idx="22">
                    <c:v>2022_Q1</c:v>
                  </c:pt>
                  <c:pt idx="23">
                    <c:v>2022_Q2</c:v>
                  </c:pt>
                  <c:pt idx="24">
                    <c:v>2022_Q1</c:v>
                  </c:pt>
                  <c:pt idx="25">
                    <c:v>2022_Q2</c:v>
                  </c:pt>
                  <c:pt idx="26">
                    <c:v>2022_Q1</c:v>
                  </c:pt>
                  <c:pt idx="27">
                    <c:v>2022_Q2</c:v>
                  </c:pt>
                  <c:pt idx="28">
                    <c:v>2022_Q1</c:v>
                  </c:pt>
                  <c:pt idx="29">
                    <c:v>2022_Q2</c:v>
                  </c:pt>
                  <c:pt idx="30">
                    <c:v>2022_Q1</c:v>
                  </c:pt>
                  <c:pt idx="31">
                    <c:v>2022_Q2</c:v>
                  </c:pt>
                  <c:pt idx="32">
                    <c:v>2022_Q1</c:v>
                  </c:pt>
                  <c:pt idx="33">
                    <c:v>2022_Q2</c:v>
                  </c:pt>
                  <c:pt idx="34">
                    <c:v>2022_Q1</c:v>
                  </c:pt>
                  <c:pt idx="35">
                    <c:v>2022_Q2</c:v>
                  </c:pt>
                  <c:pt idx="36">
                    <c:v>2022_Q1</c:v>
                  </c:pt>
                  <c:pt idx="37">
                    <c:v>2022_Q2</c:v>
                  </c:pt>
                  <c:pt idx="38">
                    <c:v>2022_Q1</c:v>
                  </c:pt>
                  <c:pt idx="39">
                    <c:v>2022_Q2</c:v>
                  </c:pt>
                  <c:pt idx="40">
                    <c:v>2022_Q1</c:v>
                  </c:pt>
                  <c:pt idx="41">
                    <c:v>2022_Q2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Dashboard'!$O$5:$O$68</c:f>
              <c:numCache>
                <c:formatCode>General</c:formatCode>
                <c:ptCount val="42"/>
                <c:pt idx="0">
                  <c:v>3960</c:v>
                </c:pt>
                <c:pt idx="1">
                  <c:v>4516</c:v>
                </c:pt>
                <c:pt idx="2">
                  <c:v>2139</c:v>
                </c:pt>
                <c:pt idx="3">
                  <c:v>2300</c:v>
                </c:pt>
                <c:pt idx="4">
                  <c:v>4875</c:v>
                </c:pt>
                <c:pt idx="5">
                  <c:v>4500</c:v>
                </c:pt>
                <c:pt idx="6">
                  <c:v>5540</c:v>
                </c:pt>
                <c:pt idx="7">
                  <c:v>4800</c:v>
                </c:pt>
                <c:pt idx="8">
                  <c:v>9068</c:v>
                </c:pt>
                <c:pt idx="9">
                  <c:v>8920</c:v>
                </c:pt>
                <c:pt idx="10">
                  <c:v>1067</c:v>
                </c:pt>
                <c:pt idx="11">
                  <c:v>1084</c:v>
                </c:pt>
                <c:pt idx="12">
                  <c:v>4669</c:v>
                </c:pt>
                <c:pt idx="13">
                  <c:v>5074</c:v>
                </c:pt>
                <c:pt idx="14">
                  <c:v>3486</c:v>
                </c:pt>
                <c:pt idx="15">
                  <c:v>2922</c:v>
                </c:pt>
                <c:pt idx="16">
                  <c:v>3040</c:v>
                </c:pt>
                <c:pt idx="17">
                  <c:v>3687</c:v>
                </c:pt>
                <c:pt idx="18">
                  <c:v>3720</c:v>
                </c:pt>
                <c:pt idx="19">
                  <c:v>4031</c:v>
                </c:pt>
                <c:pt idx="20">
                  <c:v>2819</c:v>
                </c:pt>
                <c:pt idx="21">
                  <c:v>3095</c:v>
                </c:pt>
                <c:pt idx="22">
                  <c:v>11440</c:v>
                </c:pt>
                <c:pt idx="23">
                  <c:v>12960</c:v>
                </c:pt>
                <c:pt idx="24">
                  <c:v>11478</c:v>
                </c:pt>
                <c:pt idx="25">
                  <c:v>12495</c:v>
                </c:pt>
                <c:pt idx="26">
                  <c:v>8891</c:v>
                </c:pt>
                <c:pt idx="27">
                  <c:v>9871</c:v>
                </c:pt>
                <c:pt idx="28">
                  <c:v>2516</c:v>
                </c:pt>
                <c:pt idx="29">
                  <c:v>2861</c:v>
                </c:pt>
                <c:pt idx="30">
                  <c:v>2920</c:v>
                </c:pt>
                <c:pt idx="31">
                  <c:v>2920</c:v>
                </c:pt>
                <c:pt idx="32">
                  <c:v>4386</c:v>
                </c:pt>
                <c:pt idx="33">
                  <c:v>4440</c:v>
                </c:pt>
                <c:pt idx="34">
                  <c:v>4958</c:v>
                </c:pt>
                <c:pt idx="35">
                  <c:v>5578</c:v>
                </c:pt>
                <c:pt idx="36">
                  <c:v>2186</c:v>
                </c:pt>
                <c:pt idx="37">
                  <c:v>1820</c:v>
                </c:pt>
                <c:pt idx="38">
                  <c:v>2248</c:v>
                </c:pt>
                <c:pt idx="39">
                  <c:v>1989</c:v>
                </c:pt>
                <c:pt idx="40">
                  <c:v>2446</c:v>
                </c:pt>
                <c:pt idx="41">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Dashboard'!$L$5:$M$68</c:f>
              <c:multiLvlStrCache>
                <c:ptCount val="42"/>
                <c:lvl>
                  <c:pt idx="0">
                    <c:v>2022_Q1</c:v>
                  </c:pt>
                  <c:pt idx="1">
                    <c:v>2022_Q2</c:v>
                  </c:pt>
                  <c:pt idx="2">
                    <c:v>2022_Q1</c:v>
                  </c:pt>
                  <c:pt idx="3">
                    <c:v>2022_Q2</c:v>
                  </c:pt>
                  <c:pt idx="4">
                    <c:v>2022_Q1</c:v>
                  </c:pt>
                  <c:pt idx="5">
                    <c:v>2022_Q2</c:v>
                  </c:pt>
                  <c:pt idx="6">
                    <c:v>2022_Q1</c:v>
                  </c:pt>
                  <c:pt idx="7">
                    <c:v>2022_Q2</c:v>
                  </c:pt>
                  <c:pt idx="8">
                    <c:v>2022_Q1</c:v>
                  </c:pt>
                  <c:pt idx="9">
                    <c:v>2022_Q2</c:v>
                  </c:pt>
                  <c:pt idx="10">
                    <c:v>2022_Q1</c:v>
                  </c:pt>
                  <c:pt idx="11">
                    <c:v>2022_Q2</c:v>
                  </c:pt>
                  <c:pt idx="12">
                    <c:v>2022_Q1</c:v>
                  </c:pt>
                  <c:pt idx="13">
                    <c:v>2022_Q2</c:v>
                  </c:pt>
                  <c:pt idx="14">
                    <c:v>2022_Q1</c:v>
                  </c:pt>
                  <c:pt idx="15">
                    <c:v>2022_Q2</c:v>
                  </c:pt>
                  <c:pt idx="16">
                    <c:v>2022_Q1</c:v>
                  </c:pt>
                  <c:pt idx="17">
                    <c:v>2022_Q2</c:v>
                  </c:pt>
                  <c:pt idx="18">
                    <c:v>2022_Q1</c:v>
                  </c:pt>
                  <c:pt idx="19">
                    <c:v>2022_Q2</c:v>
                  </c:pt>
                  <c:pt idx="20">
                    <c:v>2022_Q1</c:v>
                  </c:pt>
                  <c:pt idx="21">
                    <c:v>2022_Q2</c:v>
                  </c:pt>
                  <c:pt idx="22">
                    <c:v>2022_Q1</c:v>
                  </c:pt>
                  <c:pt idx="23">
                    <c:v>2022_Q2</c:v>
                  </c:pt>
                  <c:pt idx="24">
                    <c:v>2022_Q1</c:v>
                  </c:pt>
                  <c:pt idx="25">
                    <c:v>2022_Q2</c:v>
                  </c:pt>
                  <c:pt idx="26">
                    <c:v>2022_Q1</c:v>
                  </c:pt>
                  <c:pt idx="27">
                    <c:v>2022_Q2</c:v>
                  </c:pt>
                  <c:pt idx="28">
                    <c:v>2022_Q1</c:v>
                  </c:pt>
                  <c:pt idx="29">
                    <c:v>2022_Q2</c:v>
                  </c:pt>
                  <c:pt idx="30">
                    <c:v>2022_Q1</c:v>
                  </c:pt>
                  <c:pt idx="31">
                    <c:v>2022_Q2</c:v>
                  </c:pt>
                  <c:pt idx="32">
                    <c:v>2022_Q1</c:v>
                  </c:pt>
                  <c:pt idx="33">
                    <c:v>2022_Q2</c:v>
                  </c:pt>
                  <c:pt idx="34">
                    <c:v>2022_Q1</c:v>
                  </c:pt>
                  <c:pt idx="35">
                    <c:v>2022_Q2</c:v>
                  </c:pt>
                  <c:pt idx="36">
                    <c:v>2022_Q1</c:v>
                  </c:pt>
                  <c:pt idx="37">
                    <c:v>2022_Q2</c:v>
                  </c:pt>
                  <c:pt idx="38">
                    <c:v>2022_Q1</c:v>
                  </c:pt>
                  <c:pt idx="39">
                    <c:v>2022_Q2</c:v>
                  </c:pt>
                  <c:pt idx="40">
                    <c:v>2022_Q1</c:v>
                  </c:pt>
                  <c:pt idx="41">
                    <c:v>2022_Q2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Dashboard'!$P$5:$P$68</c:f>
              <c:numCache>
                <c:formatCode>General</c:formatCode>
                <c:ptCount val="42"/>
                <c:pt idx="0">
                  <c:v>5133</c:v>
                </c:pt>
                <c:pt idx="1">
                  <c:v>5133</c:v>
                </c:pt>
                <c:pt idx="2">
                  <c:v>2139</c:v>
                </c:pt>
                <c:pt idx="3">
                  <c:v>2489</c:v>
                </c:pt>
                <c:pt idx="4">
                  <c:v>4875</c:v>
                </c:pt>
                <c:pt idx="5">
                  <c:v>5101</c:v>
                </c:pt>
                <c:pt idx="6">
                  <c:v>7033</c:v>
                </c:pt>
                <c:pt idx="7">
                  <c:v>8728</c:v>
                </c:pt>
                <c:pt idx="8">
                  <c:v>11056</c:v>
                </c:pt>
                <c:pt idx="9">
                  <c:v>11715</c:v>
                </c:pt>
                <c:pt idx="10">
                  <c:v>1067</c:v>
                </c:pt>
                <c:pt idx="11">
                  <c:v>1084</c:v>
                </c:pt>
                <c:pt idx="12">
                  <c:v>6674</c:v>
                </c:pt>
                <c:pt idx="13">
                  <c:v>6680</c:v>
                </c:pt>
                <c:pt idx="14">
                  <c:v>3486</c:v>
                </c:pt>
                <c:pt idx="15">
                  <c:v>3486</c:v>
                </c:pt>
                <c:pt idx="16">
                  <c:v>5024</c:v>
                </c:pt>
                <c:pt idx="17">
                  <c:v>5024</c:v>
                </c:pt>
                <c:pt idx="18">
                  <c:v>5137</c:v>
                </c:pt>
                <c:pt idx="19">
                  <c:v>5137</c:v>
                </c:pt>
                <c:pt idx="20">
                  <c:v>3095</c:v>
                </c:pt>
                <c:pt idx="21">
                  <c:v>3095</c:v>
                </c:pt>
                <c:pt idx="22">
                  <c:v>13302</c:v>
                </c:pt>
                <c:pt idx="23">
                  <c:v>13302</c:v>
                </c:pt>
                <c:pt idx="24">
                  <c:v>11478</c:v>
                </c:pt>
                <c:pt idx="25">
                  <c:v>12495</c:v>
                </c:pt>
                <c:pt idx="26">
                  <c:v>11564</c:v>
                </c:pt>
                <c:pt idx="27">
                  <c:v>11564</c:v>
                </c:pt>
                <c:pt idx="28">
                  <c:v>2516</c:v>
                </c:pt>
                <c:pt idx="29">
                  <c:v>2861</c:v>
                </c:pt>
                <c:pt idx="30">
                  <c:v>1500.0000000000002</c:v>
                </c:pt>
                <c:pt idx="31">
                  <c:v>1500.0000000000002</c:v>
                </c:pt>
                <c:pt idx="32">
                  <c:v>6016</c:v>
                </c:pt>
                <c:pt idx="33">
                  <c:v>6016</c:v>
                </c:pt>
                <c:pt idx="34">
                  <c:v>5950</c:v>
                </c:pt>
                <c:pt idx="35">
                  <c:v>5950</c:v>
                </c:pt>
                <c:pt idx="36">
                  <c:v>2186</c:v>
                </c:pt>
                <c:pt idx="37">
                  <c:v>2262</c:v>
                </c:pt>
                <c:pt idx="38">
                  <c:v>2248</c:v>
                </c:pt>
                <c:pt idx="39">
                  <c:v>2248</c:v>
                </c:pt>
                <c:pt idx="40">
                  <c:v>2446</c:v>
                </c:pt>
                <c:pt idx="41">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[20220727_Myanmar_WASH_4W_2022_Q2_Rakhine_camp_Consolidate.xlsx]Analysis!R_water1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237.136</c:v>
                </c:pt>
              </c:numCache>
            </c:numRef>
          </c:val>
          <c:extLst>
            <c:ext xmlns:c16="http://schemas.microsoft.com/office/drawing/2014/chart" uri="{C3380CC4-5D6E-409C-BE32-E72D297353CC}">
              <c16:uniqueId val="{00000001-0FDF-4D02-B3A1-083EBD25B4A7}"/>
            </c:ext>
          </c:extLst>
        </c:ser>
        <c:ser>
          <c:idx val="1"/>
          <c:order val="1"/>
          <c:tx>
            <c:strRef>
              <c:f>Analysis!$D$30</c:f>
              <c:strCache>
                <c:ptCount val="1"/>
                <c:pt idx="0">
                  <c:v>Gap</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4.3100000000000005</c:v>
                </c:pt>
              </c:numCache>
            </c:numRef>
          </c:val>
          <c:extLst>
            <c:ext xmlns:c16="http://schemas.microsoft.com/office/drawing/2014/chart" uri="{C3380CC4-5D6E-409C-BE32-E72D297353CC}">
              <c16:uniqueId val="{00000002-0FDF-4D02-B3A1-083EBD25B4A7}"/>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Q1-2022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4</c:v>
                </c:pt>
                <c:pt idx="1">
                  <c:v>17</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5933</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66</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5933</c:v>
                </c:pt>
                <c:pt idx="1">
                  <c:v>624</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9">
  <a:schemeClr val="accent6"/>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5">
  <a:schemeClr val="accent2"/>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26" Type="http://schemas.openxmlformats.org/officeDocument/2006/relationships/chart" Target="../charts/chart29.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3.xml"/><Relationship Id="rId2" Type="http://schemas.openxmlformats.org/officeDocument/2006/relationships/hyperlink" Target="#Analysis!A270"/><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30.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2.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67</xdr:row>
      <xdr:rowOff>70841</xdr:rowOff>
    </xdr:from>
    <xdr:ext cx="7246792" cy="2009775"/>
    <xdr:pic>
      <xdr:nvPicPr>
        <xdr:cNvPr id="2" name="Picture 1">
          <a:extLst>
            <a:ext uri="{FF2B5EF4-FFF2-40B4-BE49-F238E27FC236}">
              <a16:creationId xmlns:a16="http://schemas.microsoft.com/office/drawing/2014/main" id="{B272F6AA-81AE-4BFB-82C9-0C31EA2C8F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3655" y="41931232"/>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414141</xdr:colOff>
      <xdr:row>33</xdr:row>
      <xdr:rowOff>169334</xdr:rowOff>
    </xdr:from>
    <xdr:to>
      <xdr:col>14</xdr:col>
      <xdr:colOff>502707</xdr:colOff>
      <xdr:row>37</xdr:row>
      <xdr:rowOff>1279071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226786</xdr:colOff>
      <xdr:row>14</xdr:row>
      <xdr:rowOff>164985</xdr:rowOff>
    </xdr:from>
    <xdr:to>
      <xdr:col>24</xdr:col>
      <xdr:colOff>1362528</xdr:colOff>
      <xdr:row>25</xdr:row>
      <xdr:rowOff>34018</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223004</xdr:colOff>
      <xdr:row>32</xdr:row>
      <xdr:rowOff>116415</xdr:rowOff>
    </xdr:from>
    <xdr:to>
      <xdr:col>25</xdr:col>
      <xdr:colOff>762001</xdr:colOff>
      <xdr:row>38</xdr:row>
      <xdr:rowOff>69396</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385537</xdr:colOff>
      <xdr:row>36</xdr:row>
      <xdr:rowOff>147410</xdr:rowOff>
    </xdr:from>
    <xdr:to>
      <xdr:col>27</xdr:col>
      <xdr:colOff>570005</xdr:colOff>
      <xdr:row>36</xdr:row>
      <xdr:rowOff>475634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4369376" y="16396606"/>
          <a:ext cx="887504"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+31,047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154493</xdr:colOff>
      <xdr:row>187</xdr:row>
      <xdr:rowOff>3570</xdr:rowOff>
    </xdr:from>
    <xdr:to>
      <xdr:col>15</xdr:col>
      <xdr:colOff>238125</xdr:colOff>
      <xdr:row>200</xdr:row>
      <xdr:rowOff>163907</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338137</xdr:colOff>
      <xdr:row>24</xdr:row>
      <xdr:rowOff>38100</xdr:rowOff>
    </xdr:from>
    <xdr:to>
      <xdr:col>6</xdr:col>
      <xdr:colOff>947737</xdr:colOff>
      <xdr:row>37</xdr:row>
      <xdr:rowOff>28575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1035137</xdr:colOff>
      <xdr:row>60</xdr:row>
      <xdr:rowOff>36287</xdr:rowOff>
    </xdr:from>
    <xdr:to>
      <xdr:col>9</xdr:col>
      <xdr:colOff>632408</xdr:colOff>
      <xdr:row>74</xdr:row>
      <xdr:rowOff>88146</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33343</xdr:colOff>
      <xdr:row>96</xdr:row>
      <xdr:rowOff>110574</xdr:rowOff>
    </xdr:from>
    <xdr:to>
      <xdr:col>14</xdr:col>
      <xdr:colOff>665615</xdr:colOff>
      <xdr:row>105</xdr:row>
      <xdr:rowOff>69817</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2267211" y="19319673"/>
          <a:ext cx="9089635" cy="1885177"/>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318</xdr:row>
      <xdr:rowOff>198114</xdr:rowOff>
    </xdr:from>
    <xdr:to>
      <xdr:col>5</xdr:col>
      <xdr:colOff>957716</xdr:colOff>
      <xdr:row>329</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12</xdr:col>
      <xdr:colOff>2666102</xdr:colOff>
      <xdr:row>294</xdr:row>
      <xdr:rowOff>1588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1023713</xdr:colOff>
      <xdr:row>48</xdr:row>
      <xdr:rowOff>38391</xdr:rowOff>
    </xdr:from>
    <xdr:to>
      <xdr:col>8</xdr:col>
      <xdr:colOff>1020536</xdr:colOff>
      <xdr:row>58</xdr:row>
      <xdr:rowOff>120196</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1463674</xdr:colOff>
      <xdr:row>50</xdr:row>
      <xdr:rowOff>22031</xdr:rowOff>
    </xdr:from>
    <xdr:to>
      <xdr:col>13</xdr:col>
      <xdr:colOff>336452</xdr:colOff>
      <xdr:row>60</xdr:row>
      <xdr:rowOff>134938</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387998</xdr:colOff>
      <xdr:row>47</xdr:row>
      <xdr:rowOff>202358</xdr:rowOff>
    </xdr:from>
    <xdr:to>
      <xdr:col>22</xdr:col>
      <xdr:colOff>715541</xdr:colOff>
      <xdr:row>58</xdr:row>
      <xdr:rowOff>0</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928686</xdr:colOff>
      <xdr:row>110</xdr:row>
      <xdr:rowOff>95251</xdr:rowOff>
    </xdr:from>
    <xdr:to>
      <xdr:col>8</xdr:col>
      <xdr:colOff>866773</xdr:colOff>
      <xdr:row>125</xdr:row>
      <xdr:rowOff>20638</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137</xdr:row>
      <xdr:rowOff>103188</xdr:rowOff>
    </xdr:from>
    <xdr:to>
      <xdr:col>9</xdr:col>
      <xdr:colOff>460374</xdr:colOff>
      <xdr:row>151</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12</xdr:col>
      <xdr:colOff>2638878</xdr:colOff>
      <xdr:row>282</xdr:row>
      <xdr:rowOff>31751</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15</xdr:col>
      <xdr:colOff>1819172</xdr:colOff>
      <xdr:row>293</xdr:row>
      <xdr:rowOff>49213</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349</xdr:row>
      <xdr:rowOff>11112</xdr:rowOff>
    </xdr:from>
    <xdr:to>
      <xdr:col>9</xdr:col>
      <xdr:colOff>455612</xdr:colOff>
      <xdr:row>363</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331917</xdr:colOff>
      <xdr:row>230</xdr:row>
      <xdr:rowOff>102862</xdr:rowOff>
    </xdr:from>
    <xdr:to>
      <xdr:col>15</xdr:col>
      <xdr:colOff>1641897</xdr:colOff>
      <xdr:row>243</xdr:row>
      <xdr:rowOff>127900</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798286</xdr:colOff>
      <xdr:row>316</xdr:row>
      <xdr:rowOff>18596</xdr:rowOff>
    </xdr:from>
    <xdr:to>
      <xdr:col>15</xdr:col>
      <xdr:colOff>254000</xdr:colOff>
      <xdr:row>343</xdr:row>
      <xdr:rowOff>99785</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511969</xdr:colOff>
      <xdr:row>99</xdr:row>
      <xdr:rowOff>102509</xdr:rowOff>
    </xdr:from>
    <xdr:to>
      <xdr:col>26</xdr:col>
      <xdr:colOff>361155</xdr:colOff>
      <xdr:row>112</xdr:row>
      <xdr:rowOff>119744</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29822</xdr:colOff>
      <xdr:row>115</xdr:row>
      <xdr:rowOff>144122</xdr:rowOff>
    </xdr:from>
    <xdr:to>
      <xdr:col>13</xdr:col>
      <xdr:colOff>88218</xdr:colOff>
      <xdr:row>129</xdr:row>
      <xdr:rowOff>156822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1859643</xdr:colOff>
      <xdr:row>316</xdr:row>
      <xdr:rowOff>39008</xdr:rowOff>
    </xdr:from>
    <xdr:to>
      <xdr:col>22</xdr:col>
      <xdr:colOff>18143</xdr:colOff>
      <xdr:row>343</xdr:row>
      <xdr:rowOff>108857</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86125</xdr:colOff>
      <xdr:row>56</xdr:row>
      <xdr:rowOff>32657</xdr:rowOff>
    </xdr:from>
    <xdr:to>
      <xdr:col>7</xdr:col>
      <xdr:colOff>854393</xdr:colOff>
      <xdr:row>63</xdr:row>
      <xdr:rowOff>230909</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994571"/>
          <a:ext cx="6407068" cy="1765795"/>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2061</xdr:colOff>
      <xdr:row>1</xdr:row>
      <xdr:rowOff>40967</xdr:rowOff>
    </xdr:from>
    <xdr:to>
      <xdr:col>7</xdr:col>
      <xdr:colOff>869290</xdr:colOff>
      <xdr:row>23</xdr:row>
      <xdr:rowOff>156687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57728</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29767</xdr:rowOff>
    </xdr:from>
    <xdr:to>
      <xdr:col>19</xdr:col>
      <xdr:colOff>74083</xdr:colOff>
      <xdr:row>3</xdr:row>
      <xdr:rowOff>52918</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355773" y="611850"/>
          <a:ext cx="9974310" cy="361818"/>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92401</xdr:colOff>
      <xdr:row>43</xdr:row>
      <xdr:rowOff>45102</xdr:rowOff>
    </xdr:from>
    <xdr:to>
      <xdr:col>7</xdr:col>
      <xdr:colOff>872881</xdr:colOff>
      <xdr:row>45</xdr:row>
      <xdr:rowOff>174170</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92401" y="8350902"/>
          <a:ext cx="6419280" cy="618925"/>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AA, BHA-USAID, DFAT, ECHO, FCDO/Oxfam, GFFO, GIZ, HARP-F , IR Canada, IR Mauritius, IR USA, LIFT-UNOPS, MA-UK HQ , MHF, UNICEF</a:t>
          </a:r>
        </a:p>
      </xdr:txBody>
    </xdr:sp>
    <xdr:clientData/>
  </xdr:twoCellAnchor>
  <xdr:twoCellAnchor>
    <xdr:from>
      <xdr:col>9</xdr:col>
      <xdr:colOff>21647</xdr:colOff>
      <xdr:row>82</xdr:row>
      <xdr:rowOff>10240</xdr:rowOff>
    </xdr:from>
    <xdr:to>
      <xdr:col>19</xdr:col>
      <xdr:colOff>30855</xdr:colOff>
      <xdr:row>86</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300210" y="17496553"/>
          <a:ext cx="9875520" cy="8859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2885</a:t>
          </a:r>
          <a:r>
            <a:rPr lang="en-US" sz="1200" b="1">
              <a:solidFill>
                <a:schemeClr val="accent2">
                  <a:lumMod val="50000"/>
                </a:schemeClr>
              </a:solidFill>
            </a:rPr>
            <a:t> latrines desludged in Q2</a:t>
          </a:r>
        </a:p>
        <a:p>
          <a:r>
            <a:rPr lang="en-US" sz="1200" b="1">
              <a:solidFill>
                <a:schemeClr val="accent2">
                  <a:lumMod val="50000"/>
                </a:schemeClr>
              </a:solidFill>
            </a:rPr>
            <a:t>2. Total </a:t>
          </a:r>
          <a:r>
            <a:rPr lang="en-US" sz="1600" b="1">
              <a:solidFill>
                <a:schemeClr val="accent2">
                  <a:lumMod val="50000"/>
                </a:schemeClr>
              </a:solidFill>
            </a:rPr>
            <a:t>1555</a:t>
          </a:r>
          <a:r>
            <a:rPr lang="en-US" sz="1200" b="1">
              <a:solidFill>
                <a:schemeClr val="accent2">
                  <a:lumMod val="50000"/>
                </a:schemeClr>
              </a:solidFill>
            </a:rPr>
            <a:t> latrines</a:t>
          </a:r>
          <a:r>
            <a:rPr lang="en-US" sz="1200" b="1" baseline="0">
              <a:solidFill>
                <a:schemeClr val="accent2">
                  <a:lumMod val="50000"/>
                </a:schemeClr>
              </a:solidFill>
            </a:rPr>
            <a:t> repaired in Q2</a:t>
          </a:r>
          <a:endParaRPr lang="en-US" sz="1200" b="1">
            <a:solidFill>
              <a:schemeClr val="accent2">
                <a:lumMod val="50000"/>
              </a:schemeClr>
            </a:solidFill>
          </a:endParaRPr>
        </a:p>
        <a:p>
          <a:r>
            <a:rPr lang="en-US" sz="1200" b="1" baseline="0">
              <a:solidFill>
                <a:schemeClr val="accent2">
                  <a:lumMod val="50000"/>
                </a:schemeClr>
              </a:solidFill>
            </a:rPr>
            <a:t>2.  </a:t>
          </a:r>
          <a:r>
            <a:rPr lang="en-US" sz="1600" b="1" baseline="0">
              <a:solidFill>
                <a:schemeClr val="accent2">
                  <a:lumMod val="50000"/>
                </a:schemeClr>
              </a:solidFill>
            </a:rPr>
            <a:t>149</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89</xdr:row>
      <xdr:rowOff>65550</xdr:rowOff>
    </xdr:from>
    <xdr:to>
      <xdr:col>19</xdr:col>
      <xdr:colOff>20155</xdr:colOff>
      <xdr:row>112</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701559" y="18734550"/>
          <a:ext cx="9832225" cy="4625494"/>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xdr:col>
      <xdr:colOff>27236</xdr:colOff>
      <xdr:row>71</xdr:row>
      <xdr:rowOff>132173</xdr:rowOff>
    </xdr:from>
    <xdr:to>
      <xdr:col>8</xdr:col>
      <xdr:colOff>68223</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5207" y="15579002"/>
          <a:ext cx="6463559" cy="36193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196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6,050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56,731 people have received regular hygiene promotion,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86</xdr:row>
      <xdr:rowOff>165034</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50272</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39984" y="6565815"/>
          <a:ext cx="9923917" cy="3523425"/>
          <a:chOff x="6434667" y="7708511"/>
          <a:chExt cx="9935105"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591488" y="7708511"/>
            <a:ext cx="6778284" cy="2955531"/>
            <a:chOff x="10040240" y="8595030"/>
            <a:chExt cx="613032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10040240" y="8595030"/>
              <a:ext cx="6130326" cy="2802141"/>
              <a:chOff x="10112009" y="8498416"/>
              <a:chExt cx="660172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112009" y="8507852"/>
              <a:ext cx="3291840"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240831" y="9438175"/>
                <a:ext cx="1351961" cy="208791"/>
              </a:xfrm>
              <a:prstGeom prst="bentConnector3">
                <a:avLst>
                  <a:gd name="adj1" fmla="val 99659"/>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527679" y="9377281"/>
                <a:ext cx="1448068" cy="162303"/>
              </a:xfrm>
              <a:prstGeom prst="bentConnector3">
                <a:avLst>
                  <a:gd name="adj1" fmla="val 101243"/>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441603" y="9758059"/>
            <a:ext cx="1588942" cy="1600247"/>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538068" y="9685490"/>
            <a:ext cx="1571445" cy="1676324"/>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3114146" cy="2934229"/>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33109</xdr:colOff>
      <xdr:row>70</xdr:row>
      <xdr:rowOff>72087</xdr:rowOff>
    </xdr:from>
    <xdr:to>
      <xdr:col>12</xdr:col>
      <xdr:colOff>555925</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169334</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32985</xdr:colOff>
      <xdr:row>13</xdr:row>
      <xdr:rowOff>82467</xdr:rowOff>
    </xdr:from>
    <xdr:to>
      <xdr:col>19</xdr:col>
      <xdr:colOff>32986</xdr:colOff>
      <xdr:row>32</xdr:row>
      <xdr:rowOff>16493</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517072</xdr:colOff>
      <xdr:row>41</xdr:row>
      <xdr:rowOff>0</xdr:rowOff>
    </xdr:from>
    <xdr:to>
      <xdr:col>15</xdr:col>
      <xdr:colOff>1188357</xdr:colOff>
      <xdr:row>42</xdr:row>
      <xdr:rowOff>36285</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547929" y="7493000"/>
          <a:ext cx="1487714"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703 samples tested</a:t>
          </a:r>
        </a:p>
      </xdr:txBody>
    </xdr:sp>
    <xdr:clientData/>
  </xdr:twoCellAnchor>
  <xdr:twoCellAnchor>
    <xdr:from>
      <xdr:col>17</xdr:col>
      <xdr:colOff>99785</xdr:colOff>
      <xdr:row>40</xdr:row>
      <xdr:rowOff>79828</xdr:rowOff>
    </xdr:from>
    <xdr:to>
      <xdr:col>18</xdr:col>
      <xdr:colOff>878115</xdr:colOff>
      <xdr:row>41</xdr:row>
      <xdr:rowOff>108857</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013214" y="7382328"/>
          <a:ext cx="1467758"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807 samples tested</a:t>
          </a:r>
        </a:p>
      </xdr:txBody>
    </xdr:sp>
    <xdr:clientData/>
  </xdr:twoCellAnchor>
  <xdr:twoCellAnchor>
    <xdr:from>
      <xdr:col>14</xdr:col>
      <xdr:colOff>390070</xdr:colOff>
      <xdr:row>54</xdr:row>
      <xdr:rowOff>20484</xdr:rowOff>
    </xdr:from>
    <xdr:to>
      <xdr:col>18</xdr:col>
      <xdr:colOff>898071</xdr:colOff>
      <xdr:row>62</xdr:row>
      <xdr:rowOff>144581</xdr:rowOff>
    </xdr:to>
    <xdr:graphicFrame macro="">
      <xdr:nvGraphicFramePr>
        <xdr:cNvPr id="59" name="Chart 58">
          <a:extLst>
            <a:ext uri="{FF2B5EF4-FFF2-40B4-BE49-F238E27FC236}">
              <a16:creationId xmlns:a16="http://schemas.microsoft.com/office/drawing/2014/main" id="{70D7C5A6-5D8A-47D5-9563-312D89553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487514</xdr:colOff>
      <xdr:row>86</xdr:row>
      <xdr:rowOff>178893</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87085</xdr:colOff>
      <xdr:row>32</xdr:row>
      <xdr:rowOff>359613</xdr:rowOff>
    </xdr:from>
    <xdr:to>
      <xdr:col>7</xdr:col>
      <xdr:colOff>879372</xdr:colOff>
      <xdr:row>42</xdr:row>
      <xdr:rowOff>130630</xdr:rowOff>
    </xdr:to>
    <xdr:graphicFrame macro="">
      <xdr:nvGraphicFramePr>
        <xdr:cNvPr id="47" name="Chart 46">
          <a:extLst>
            <a:ext uri="{FF2B5EF4-FFF2-40B4-BE49-F238E27FC236}">
              <a16:creationId xmlns:a16="http://schemas.microsoft.com/office/drawing/2014/main" id="{C9E4047A-3D7A-49CA-A7E2-A5632115B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1275</xdr:colOff>
      <xdr:row>24</xdr:row>
      <xdr:rowOff>76200</xdr:rowOff>
    </xdr:from>
    <xdr:to>
      <xdr:col>8</xdr:col>
      <xdr:colOff>0</xdr:colOff>
      <xdr:row>32</xdr:row>
      <xdr:rowOff>241367</xdr:rowOff>
    </xdr:to>
    <xdr:graphicFrame macro="">
      <xdr:nvGraphicFramePr>
        <xdr:cNvPr id="62" name="Chart 61">
          <a:extLst>
            <a:ext uri="{FF2B5EF4-FFF2-40B4-BE49-F238E27FC236}">
              <a16:creationId xmlns:a16="http://schemas.microsoft.com/office/drawing/2014/main" id="{E4E1C4E1-E6C6-424D-9AD9-5F4B5E2A3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87084</xdr:colOff>
      <xdr:row>46</xdr:row>
      <xdr:rowOff>97971</xdr:rowOff>
    </xdr:from>
    <xdr:to>
      <xdr:col>7</xdr:col>
      <xdr:colOff>838199</xdr:colOff>
      <xdr:row>55</xdr:row>
      <xdr:rowOff>87086</xdr:rowOff>
    </xdr:to>
    <xdr:graphicFrame macro="">
      <xdr:nvGraphicFramePr>
        <xdr:cNvPr id="65" name="Chart 64">
          <a:extLst>
            <a:ext uri="{FF2B5EF4-FFF2-40B4-BE49-F238E27FC236}">
              <a16:creationId xmlns:a16="http://schemas.microsoft.com/office/drawing/2014/main" id="{0030A8E1-4BC0-4B13-828C-452BABC2D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272142</xdr:colOff>
      <xdr:row>3</xdr:row>
      <xdr:rowOff>119743</xdr:rowOff>
    </xdr:from>
    <xdr:to>
      <xdr:col>17</xdr:col>
      <xdr:colOff>177018</xdr:colOff>
      <xdr:row>13</xdr:row>
      <xdr:rowOff>8340</xdr:rowOff>
    </xdr:to>
    <xdr:sp macro="" textlink="">
      <xdr:nvSpPr>
        <xdr:cNvPr id="58" name="TextBox 57">
          <a:hlinkClick xmlns:r="http://schemas.openxmlformats.org/officeDocument/2006/relationships" r:id="rId26"/>
          <a:extLst>
            <a:ext uri="{FF2B5EF4-FFF2-40B4-BE49-F238E27FC236}">
              <a16:creationId xmlns:a16="http://schemas.microsoft.com/office/drawing/2014/main" id="{5BCAAF7B-53AF-435D-AD63-3379CFBA4AC8}"/>
            </a:ext>
          </a:extLst>
        </xdr:cNvPr>
        <xdr:cNvSpPr txBox="1"/>
      </xdr:nvSpPr>
      <xdr:spPr>
        <a:xfrm>
          <a:off x="8196942" y="1045029"/>
          <a:ext cx="6893505" cy="1630311"/>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(6) WASH cluster</a:t>
          </a:r>
          <a:r>
            <a:rPr lang="en-US" sz="2000" b="1" baseline="0">
              <a:solidFill>
                <a:schemeClr val="bg1"/>
              </a:solidFill>
            </a:rPr>
            <a:t> team field visits done in Q2.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20/Data%20Entry/Q4_2020/Core_File_Myanmar_WASH_4W_2021_Q4_Rakhine_Ca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2/2022_Q2/20220801_Funding%20Matrix_2022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t="str">
            <v>Cumulative Funding Received for 2022</v>
          </cell>
        </row>
      </sheetData>
      <sheetData sheetId="14"/>
      <sheetData sheetId="15"/>
      <sheetData sheetId="16">
        <row r="2">
          <cell r="C2" t="str">
            <v>Camps</v>
          </cell>
          <cell r="D2" t="str">
            <v>Non-IDP Camps</v>
          </cell>
          <cell r="E2" t="str">
            <v>Gap</v>
          </cell>
        </row>
        <row r="3">
          <cell r="C3">
            <v>4727300.767016477</v>
          </cell>
          <cell r="D3">
            <v>1692706.0511339386</v>
          </cell>
          <cell r="E3">
            <v>46334677.692300446</v>
          </cell>
        </row>
      </sheetData>
      <sheetData sheetId="17"/>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769.563141666666" backgroundQuery="1" createdVersion="6" refreshedVersion="6"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13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130"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769.566476736109" backgroundQuery="1" createdVersion="6" refreshedVersion="6"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13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130"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0.429529629633" createdVersion="6" refreshedVersion="6" minRefreshableVersion="3" recordCount="42" xr:uid="{00000000-000A-0000-FFFF-FFFF00000000}">
  <cacheSource type="worksheet">
    <worksheetSource name="WWWW"/>
  </cacheSource>
  <cacheFields count="122">
    <cacheField name="Reporting Period" numFmtId="167">
      <sharedItems containsBlank="1" count="24">
        <s v="2022_Q1"/>
        <s v="2022_Q2"/>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47">
        <s v="SI"/>
        <s v="OXSI (SI)"/>
        <s v="OXSI (Oxfam)"/>
        <s v="CDA"/>
        <s v="SCI"/>
        <s v="RI"/>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47">
        <s v="SI"/>
        <s v="OXSI (SI)"/>
        <s v="OXSI (Oxfam)"/>
        <s v="CDA"/>
        <s v="SCI"/>
        <s v="R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Kachin" u="1"/>
        <s v="Northern Rakhine" u="1"/>
        <s v="Shan (North)" u="1"/>
        <s v="Central Rakhine" u="1"/>
      </sharedItems>
    </cacheField>
    <cacheField name="Township" numFmtId="0">
      <sharedItems containsBlank="1" count="41">
        <s v="Pauktaw"/>
        <s v="Sittwe"/>
        <s v="Kyaukpyu"/>
        <s v="Myebon"/>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s v="Town_New_Displaced" u="1"/>
        <s v="Camp_not registered" u="1"/>
        <s v="Village_New_Displaced" u="1"/>
        <s v="Village" u="1"/>
        <s v="Village_Not HRP" u="1"/>
        <e v="#REF!" u="1"/>
        <e v="#N/A" u="1"/>
        <s v="Town" u="1"/>
        <s v="New Site" u="1"/>
        <s v="New Temporary Site" u="1"/>
      </sharedItems>
    </cacheField>
    <cacheField name="Site Name" numFmtId="0">
      <sharedItems containsBlank="1" count="974">
        <s v="Ah Nauk Ywe"/>
        <s v="Basare"/>
        <s v="Baw Du Pha 1"/>
        <s v="Baw Du Pha 2"/>
        <s v="Dar Pai"/>
        <s v="Khaung Doke Khar 1"/>
        <s v="Khaung Doke Khar 2 (Hmanzi)"/>
        <s v="Kyauk Ta Lone"/>
        <s v="Kyein Ni Pyin"/>
        <s v="Maw Ti Ngar"/>
        <s v="Nget Chaung 1"/>
        <s v="Nget Chaung 2"/>
        <s v="Ohn Taw Chay"/>
        <s v="Ohn Taw Gyi (North)"/>
        <s v="Ohn Taw Gyi (South)"/>
        <s v="Phwe Yar Kone (Say Tha Mar Gyi)"/>
        <s v="Say Tha Mar Gyi"/>
        <s v="Sin Tet Maw"/>
        <s v="Taung Paw"/>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72" maxValue="2728"/>
    </cacheField>
    <cacheField name="Total PoP " numFmtId="164">
      <sharedItems containsSemiMixedTypes="0" containsString="0" containsNumber="1" containsInteger="1" minValue="1067" maxValue="13302"/>
    </cacheField>
    <cacheField name="Pop_per_HH" numFmtId="164">
      <sharedItems containsSemiMixedTypes="0" containsString="0" containsNumber="1" minValue="2.8229166666666665" maxValue="6.7450000000000001"/>
    </cacheField>
    <cacheField name="Project start date" numFmtId="168">
      <sharedItems containsDate="1" containsMixedTypes="1" minDate="2018-12-11T00:00:00" maxDate="2022-06-02T00:00:00"/>
    </cacheField>
    <cacheField name="Project end date" numFmtId="165">
      <sharedItems containsDate="1" containsMixedTypes="1" minDate="2021-04-30T00:00:00" maxDate="2023-06-01T00:00:00"/>
    </cacheField>
    <cacheField name="#_students at TLS_CFS" numFmtId="164">
      <sharedItems containsNonDate="0" containsString="0" containsBlank="1"/>
    </cacheField>
    <cacheField name="#_Functional_improved_water_source_Handpump" numFmtId="164">
      <sharedItems containsString="0" containsBlank="1" containsNumber="1" containsInteger="1" minValue="21" maxValue="227"/>
    </cacheField>
    <cacheField name="#_Existing_improved_water_source_Handpump" numFmtId="164">
      <sharedItems containsString="0" containsBlank="1" containsNumber="1" containsInteger="1" minValue="23" maxValue="229"/>
    </cacheField>
    <cacheField name="#_Functional_improved_water_source_tapstand_handdugwell" numFmtId="164">
      <sharedItems containsString="0" containsBlank="1" containsNumber="1" containsInteger="1" minValue="0" maxValue="36"/>
    </cacheField>
    <cacheField name="#_Existing_improved_water_source_tapstand_handdugwell" numFmtId="164">
      <sharedItems containsString="0" containsBlank="1" containsNumber="1" containsInteger="1" minValue="0" maxValue="36"/>
    </cacheField>
    <cacheField name="#_litres_of_water_supplied_by_existing_water_boating_trucking " numFmtId="164">
      <sharedItems containsString="0" containsBlank="1" containsNumber="1" containsInteger="1" minValue="1612000" maxValue="3766000"/>
    </cacheField>
    <cacheField name="#_PPL_received safe_drinking_water_HH_filters_centralized water system" numFmtId="164">
      <sharedItems containsString="0" containsBlank="1" containsNumber="1" containsInteger="1" minValue="1067" maxValue="6680"/>
    </cacheField>
    <cacheField name="#_Water samples_Tested_at_water_source" numFmtId="164">
      <sharedItems containsString="0" containsBlank="1" containsNumber="1" containsInteger="1" minValue="1" maxValue="236"/>
    </cacheField>
    <cacheField name="%_Water samples _passed_at_water source" numFmtId="9">
      <sharedItems containsString="0" containsBlank="1" containsNumber="1" minValue="0.13" maxValue="1"/>
    </cacheField>
    <cacheField name="#_Water samples_Tested_at_HH" numFmtId="164">
      <sharedItems containsString="0" containsBlank="1" containsNumber="1" containsInteger="1" minValue="5" maxValue="120"/>
    </cacheField>
    <cacheField name="%_Water samples _passed_at_HH" numFmtId="9">
      <sharedItems containsString="0" containsBlank="1" containsNumber="1" minValue="0.13" maxValue="1"/>
    </cacheField>
    <cacheField name="#_HH_receiving_HH_water_storage items" numFmtId="164">
      <sharedItems containsString="0" containsBlank="1" containsNumber="1" containsInteger="1" minValue="17" maxValue="376"/>
    </cacheField>
    <cacheField name="#_PPL_accessed_water_in_TLS" numFmtId="164">
      <sharedItems containsString="0" containsBlank="1" containsNumber="1" containsInteger="1" minValue="196" maxValue="197"/>
    </cacheField>
    <cacheField name="#_PPL_accessed_water_in_THF" numFmtId="164">
      <sharedItems containsString="0" containsBlank="1" containsNumber="1" containsInteger="1" minValue="0" maxValue="0"/>
    </cacheField>
    <cacheField name="WATER Comment" numFmtId="49">
      <sharedItems containsBlank="1"/>
    </cacheField>
    <cacheField name="#_Functional_adult_latrines" numFmtId="164">
      <sharedItems containsSemiMixedTypes="0" containsString="0" containsNumber="1" containsInteger="1" minValue="86" maxValue="828"/>
    </cacheField>
    <cacheField name="#_Existing_latrines" numFmtId="164">
      <sharedItems containsSemiMixedTypes="0" containsString="0" containsNumber="1" containsInteger="1" minValue="94" maxValue="830"/>
    </cacheField>
    <cacheField name="#_latrines_repaired" numFmtId="164">
      <sharedItems containsString="0" containsBlank="1" containsNumber="1" containsInteger="1" minValue="2" maxValue="237"/>
    </cacheField>
    <cacheField name="#_of_latrines_desludged " numFmtId="164">
      <sharedItems containsString="0" containsBlank="1" containsNumber="1" containsInteger="1" minValue="40" maxValue="366"/>
    </cacheField>
    <cacheField name="%_of_Men_that_feel_safe_to_use_latrines_when_they_need_to_(or_at_day/night)'?" numFmtId="9">
      <sharedItems containsBlank="1" containsMixedTypes="1" containsNumber="1" minValue="0.99" maxValue="1"/>
    </cacheField>
    <cacheField name="%_of_Women_that_feel_safe_to_use_latrines_when_they_need_to_(or_at_day/night)?" numFmtId="9">
      <sharedItems containsString="0" containsBlank="1" containsNumber="1" minValue="0.55000000000000004" maxValue="1"/>
    </cacheField>
    <cacheField name="%_of_Children_that_feel_safe_to_use_latrines_when_they_need_to_(or_at_day/night)?" numFmtId="9">
      <sharedItems containsString="0" containsBlank="1" containsNumber="1" minValue="0.1" maxValue="1"/>
    </cacheField>
    <cacheField name="#_of_functional_children_latrines" numFmtId="164">
      <sharedItems containsString="0" containsBlank="1" containsNumber="1" containsInteger="1" minValue="1" maxValue="36"/>
    </cacheField>
    <cacheField name="#_of_PWD_with_adapted_sanitation_option" numFmtId="164">
      <sharedItems containsString="0" containsBlank="1" containsNumber="1" containsInteger="1" minValue="9" maxValue="183"/>
    </cacheField>
    <cacheField name="#_of_latrines_in_TLS/CFS" numFmtId="164">
      <sharedItems containsString="0" containsBlank="1" containsNumber="1" containsInteger="1" minValue="2" maxValue="40"/>
    </cacheField>
    <cacheField name="#_of_latrines_in_THF" numFmtId="164">
      <sharedItems containsString="0" containsBlank="1" containsNumber="1" containsInteger="1" minValue="1" maxValue="3"/>
    </cacheField>
    <cacheField name="Is_there_an_effective_solid_waste_management_system_in_place?" numFmtId="164">
      <sharedItems containsBlank="1" count="3">
        <s v="Yes"/>
        <s v="No"/>
        <m u="1"/>
      </sharedItems>
    </cacheField>
    <cacheField name="SANITATION Comments " numFmtId="49">
      <sharedItems containsBlank="1"/>
    </cacheField>
    <cacheField name="_#_of_Men_receiving_consultation_hygiene_promotion_messages_and_sessions" numFmtId="164">
      <sharedItems containsString="0" containsBlank="1" containsNumber="1" containsInteger="1" minValue="8" maxValue="2755"/>
    </cacheField>
    <cacheField name="_#_of_Women_receiving_consultation_hygiene_promotion_messages_and_sessions" numFmtId="164">
      <sharedItems containsString="0" containsBlank="1" containsNumber="1" containsInteger="1" minValue="25" maxValue="3064"/>
    </cacheField>
    <cacheField name="_#_of_Boys_receiving_consultation_hygiene_promotion_messages_and_sessions" numFmtId="164">
      <sharedItems containsString="0" containsBlank="1" containsNumber="1" containsInteger="1" minValue="8" maxValue="1955"/>
    </cacheField>
    <cacheField name="_#_of_Girls_receiving_consultation_hygiene_promotion_messages_and_sessions" numFmtId="164">
      <sharedItems containsString="0" containsBlank="1" containsNumber="1" containsInteger="1" minValue="20" maxValue="1900"/>
    </cacheField>
    <cacheField name="#_of_affected_households_receiving_a_sufficient_quantity_of_soap" numFmtId="164">
      <sharedItems containsString="0" containsBlank="1" containsNumber="1" containsInteger="1" minValue="376" maxValue="2728"/>
    </cacheField>
    <cacheField name="#_of_affected_women_and_girls_receiving_a_sufficient_quantity_of_sanitary_pads" numFmtId="164">
      <sharedItems containsString="0" containsBlank="1" containsNumber="1" containsInteger="1" minValue="510" maxValue="5456"/>
    </cacheField>
    <cacheField name="%_of_women_and_girls_who_report_that_they_have_an_adequate_system_for_disposing_of_used_sanitary_pads" numFmtId="9">
      <sharedItems containsString="0" containsBlank="1" containsNumber="1" minValue="0" maxValue="1"/>
    </cacheField>
    <cacheField name="%_of_affected_people_who_report_handwashing_at_key_times" numFmtId="9">
      <sharedItems containsString="0" containsBlank="1" containsNumber="1" minValue="0.37" maxValue="1"/>
    </cacheField>
    <cacheField name="#_of_functional_HWS_in TLS/CFS" numFmtId="1">
      <sharedItems containsString="0" containsBlank="1" containsNumber="1" containsInteger="1" minValue="0" maxValue="32"/>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83" maxValue="1"/>
    </cacheField>
    <cacheField name="%_of_affected_people_surveyed_who_report_feeling_satistfied_with_the_water_point_design_and_water_service" numFmtId="9">
      <sharedItems containsString="0" containsBlank="1" containsNumber="1" minValue="0.49" maxValue="1"/>
    </cacheField>
    <cacheField name="%_of_affected_people_surveyed_who_report_feeling_informed_about_the_different_WASH_services_available_to_them" numFmtId="9">
      <sharedItems containsString="0" containsBlank="1" containsNumber="1" minValue="0.9"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9">
      <sharedItems containsString="0" containsBlank="1" containsNumber="1" minValue="0" maxValue="1.2699999999999999E-2"/>
    </cacheField>
    <cacheField name="#_of_sanitation_facilities_(latrines)_built/repaired/rehabilitated_following_risk-sensitive_programming_and_consultation_with_communities_and/or_GBV_risk-sensitive_programming" numFmtId="164">
      <sharedItems containsString="0" containsBlank="1" containsNumber="1" containsInteger="1" minValue="4" maxValue="570"/>
    </cacheField>
    <cacheField name="#_of_sanitation_facilities_(HH_sanitation_devices)_distributed_following_risk-sensitive_programming_and_consultation_with_communities_and/or_GBV_risk-sensitive_programming" numFmtId="164">
      <sharedItems containsString="0" containsBlank="1" containsNumber="1" containsInteger="1" minValue="3" maxValue="3"/>
    </cacheField>
    <cacheField name="# of sanitation facilities (bathing spaces) built following risk-sensitive programming and consultation with communities" numFmtId="164">
      <sharedItems containsNonDate="0" containsString="0" containsBlank="1"/>
    </cacheField>
    <cacheField name="amount_of_MMK/Voucher_or_Token_distributed_per_HH/Family" numFmtId="0">
      <sharedItems containsNonDate="0" containsString="0" containsBlank="1"/>
    </cacheField>
    <cacheField name="#_of_Family/HH_Reached" numFmtId="0">
      <sharedItems containsNonDate="0" containsString="0" containsBlank="1"/>
    </cacheField>
    <cacheField name="Date_of_Cash_distribution" numFmtId="0">
      <sharedItems containsNonDate="0" containsString="0" containsBlank="1"/>
    </cacheField>
    <cacheField name="Cash_distributed_for_which_items" numFmtId="164">
      <sharedItems containsNonDate="0" containsString="0" containsBlank="1"/>
    </cacheField>
    <cacheField name="Water_testing_at source" numFmtId="9">
      <sharedItems/>
    </cacheField>
    <cacheField name="Water_testing_at HH" numFmtId="9">
      <sharedItems/>
    </cacheField>
    <cacheField name="Warter quality test done" numFmtId="1">
      <sharedItems containsBlank="1" count="3">
        <s v="No Test"/>
        <s v="Tested"/>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67" maxValue="13302"/>
    </cacheField>
    <cacheField name="#Water points coverage" numFmtId="1">
      <sharedItems containsSemiMixedTypes="0" containsString="0" containsNumber="1" minValue="2.1339999999999999" maxValue="26.603999999999999"/>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1419.9999999999998"/>
    </cacheField>
    <cacheField name="Total required water points" numFmtId="1">
      <sharedItems containsSemiMixedTypes="0" containsString="0" containsNumber="1" containsInteger="1" minValue="2" maxValue="27"/>
    </cacheField>
    <cacheField name="#Potential required new water points" numFmtId="1">
      <sharedItems containsSemiMixedTypes="0" containsString="0" containsNumber="1" minValue="0" maxValue="2.9999999999999996"/>
    </cacheField>
    <cacheField name="% HRP2" numFmtId="9">
      <sharedItems containsSemiMixedTypes="0" containsString="0" containsNumber="1" minValue="0.54995417048579287" maxValue="1"/>
    </cacheField>
    <cacheField name="HRP2" numFmtId="1">
      <sharedItems containsSemiMixedTypes="0" containsString="0" containsNumber="1" containsInteger="1" minValue="1067" maxValue="12960"/>
    </cacheField>
    <cacheField name="Ratio (PPL:1latrine)" numFmtId="1">
      <sharedItems containsSemiMixedTypes="0" containsString="0" containsNumber="1" minValue="4.5482866043613708" maxValue="41.52066115702479"/>
    </cacheField>
    <cacheField name="# students access to functioning school latrines_HRP5" numFmtId="1">
      <sharedItems containsSemiMixedTypes="0" containsString="0" containsNumber="1" containsInteger="1" minValue="0" maxValue="2000"/>
    </cacheField>
    <cacheField name="# people access to functioning latrines in THF_HRP6" numFmtId="1">
      <sharedItems containsSemiMixedTypes="0" containsString="0" containsNumber="1" containsInteger="1" minValue="0" maxValue="150"/>
    </cacheField>
    <cacheField name="Total required Latrines" numFmtId="1">
      <sharedItems containsSemiMixedTypes="0" containsString="0" containsNumber="1" containsInteger="1" minValue="53" maxValue="665"/>
    </cacheField>
    <cacheField name="# potential required new latrines" numFmtId="1">
      <sharedItems containsSemiMixedTypes="0" containsString="0" containsNumber="1" containsInteger="1" minValue="0" maxValue="108"/>
    </cacheField>
    <cacheField name="% of Latrine Gap" numFmtId="9">
      <sharedItems containsSemiMixedTypes="0" containsString="0" containsNumber="1" minValue="0" maxValue="0.45004582951420713"/>
    </cacheField>
    <cacheField name="% Latrines requiring  repairs" numFmtId="9">
      <sharedItems containsSemiMixedTypes="0" containsString="0" containsNumber="1" minValue="-1.11731843575419E-2" maxValue="0.37719298245614036"/>
    </cacheField>
    <cacheField name="# people reached by regular dedicated hygiene promotion_5" numFmtId="1">
      <sharedItems containsSemiMixedTypes="0" containsString="0" containsNumber="1" containsInteger="1" minValue="0" maxValue="8670"/>
    </cacheField>
    <cacheField name="# People with access to soap" numFmtId="1">
      <sharedItems containsSemiMixedTypes="0" containsString="0" containsNumber="1" minValue="0" maxValue="13302"/>
    </cacheField>
    <cacheField name="# People with access to Sanity Pads" numFmtId="1">
      <sharedItems containsSemiMixedTypes="0" containsString="0" containsNumber="1" containsInteger="1" minValue="0" maxValue="5456"/>
    </cacheField>
    <cacheField name="# People received regular supply of hygiene items_6" numFmtId="1">
      <sharedItems containsSemiMixedTypes="0" containsString="0" containsNumber="1" minValue="0" maxValue="13302"/>
    </cacheField>
    <cacheField name="HRP3" numFmtId="1">
      <sharedItems containsSemiMixedTypes="0" containsString="0" containsNumber="1" minValue="0" maxValue="13302"/>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6403355470115344"/>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HRP4" numFmtId="49">
      <sharedItems containsSemiMixedTypes="0" containsString="0" containsNumber="1" containsInteger="1" minValue="0" maxValue="570"/>
    </cacheField>
    <cacheField name="HRP5" numFmtId="164">
      <sharedItems containsSemiMixedTypes="0" containsString="0" containsNumber="1" containsInteger="1" minValue="0" maxValue="2000"/>
    </cacheField>
    <cacheField name="HRP6" numFmtId="164">
      <sharedItems containsSemiMixedTypes="0" containsString="0" containsNumber="1" containsInteger="1" minValue="0" maxValue="1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x v="0"/>
    <s v="ECHO, OFDA, CDC "/>
    <x v="0"/>
    <x v="0"/>
    <x v="0"/>
    <x v="0"/>
    <n v="1112"/>
    <n v="5133"/>
    <n v="4.6160071942446042"/>
    <s v="10/1/2020, 3/1/2019"/>
    <s v="12/31/2020, 2/28/2022"/>
    <m/>
    <m/>
    <m/>
    <n v="14"/>
    <n v="14"/>
    <m/>
    <n v="5133"/>
    <m/>
    <m/>
    <m/>
    <m/>
    <m/>
    <m/>
    <m/>
    <m/>
    <n v="168"/>
    <n v="198"/>
    <m/>
    <m/>
    <n v="0.99"/>
    <n v="0.98"/>
    <n v="0.98"/>
    <n v="27"/>
    <n v="60"/>
    <m/>
    <n v="3"/>
    <x v="0"/>
    <s v="The result of percentage indicators were from the KAP survey conducted in Sep 2021. The next survey will be done in April 2022."/>
    <n v="997"/>
    <n v="1200"/>
    <n v="1521"/>
    <n v="1415"/>
    <n v="1112"/>
    <n v="2224"/>
    <m/>
    <n v="0.79"/>
    <m/>
    <s v="Distribution done in March covering 3 months"/>
    <n v="0.98"/>
    <n v="0.99"/>
    <n v="0.99"/>
    <n v="1"/>
    <m/>
    <m/>
    <m/>
    <m/>
    <m/>
    <m/>
    <m/>
    <m/>
    <s v="no test"/>
    <s v="no test"/>
    <x v="0"/>
    <n v="1"/>
    <n v="5133"/>
    <n v="10.266"/>
    <n v="0"/>
    <n v="0"/>
    <n v="10"/>
    <n v="0"/>
    <n v="0.77147866744593807"/>
    <n v="3960"/>
    <n v="30.553571428571427"/>
    <n v="0"/>
    <n v="150"/>
    <n v="257"/>
    <n v="59"/>
    <n v="0.22852133255406193"/>
    <n v="0.15151515151515152"/>
    <n v="5133"/>
    <n v="5133"/>
    <n v="2224"/>
    <n v="5133"/>
    <n v="5133"/>
    <n v="1"/>
    <n v="0"/>
    <n v="1"/>
    <n v="1"/>
    <s v="No"/>
    <n v="0.99"/>
    <n v="0"/>
    <n v="0"/>
    <n v="150"/>
    <s v="Yes"/>
    <s v="LWF"/>
    <s v="Camp"/>
    <x v="0"/>
    <s v="Muslim"/>
    <n v="20.108101999999999"/>
    <n v="92.985095000000001"/>
    <s v="MMR012CMP016"/>
    <x v="0"/>
    <n v="279"/>
    <n v="636"/>
    <n v="915"/>
    <m/>
    <m/>
    <m/>
    <m/>
    <n v="1115"/>
    <n v="5197"/>
  </r>
  <r>
    <x v="0"/>
    <x v="1"/>
    <x v="1"/>
    <s v="DFID/HARP"/>
    <x v="0"/>
    <x v="1"/>
    <x v="0"/>
    <x v="1"/>
    <n v="382"/>
    <n v="2139"/>
    <n v="5.5994764397905756"/>
    <d v="2022-04-01T00:00:00"/>
    <d v="2022-06-30T00:00:00"/>
    <m/>
    <n v="21"/>
    <n v="23"/>
    <m/>
    <m/>
    <m/>
    <m/>
    <m/>
    <m/>
    <m/>
    <m/>
    <m/>
    <m/>
    <m/>
    <m/>
    <n v="113"/>
    <n v="120"/>
    <n v="101"/>
    <n v="70"/>
    <n v="1"/>
    <n v="0.91"/>
    <n v="0.55000000000000004"/>
    <n v="12"/>
    <n v="37"/>
    <n v="4"/>
    <m/>
    <x v="0"/>
    <m/>
    <n v="8"/>
    <n v="27"/>
    <n v="9"/>
    <n v="89"/>
    <n v="382"/>
    <n v="764"/>
    <n v="1"/>
    <n v="1"/>
    <n v="8"/>
    <m/>
    <n v="1"/>
    <n v="1"/>
    <n v="1"/>
    <n v="0.88"/>
    <m/>
    <n v="120"/>
    <m/>
    <m/>
    <m/>
    <m/>
    <m/>
    <m/>
    <s v="no test"/>
    <s v="no test"/>
    <x v="0"/>
    <n v="1"/>
    <n v="2139"/>
    <n v="4.2779999999999996"/>
    <n v="0"/>
    <n v="0"/>
    <n v="4"/>
    <n v="0"/>
    <n v="1"/>
    <n v="2139"/>
    <n v="18.929203539823011"/>
    <n v="200"/>
    <n v="0"/>
    <n v="107"/>
    <n v="0"/>
    <n v="0"/>
    <n v="5.8333333333333334E-2"/>
    <n v="133"/>
    <n v="2139"/>
    <n v="764"/>
    <n v="2139"/>
    <n v="2139"/>
    <n v="1"/>
    <n v="0"/>
    <n v="6.2178588125292193E-2"/>
    <n v="1"/>
    <s v="No"/>
    <n v="1"/>
    <n v="120"/>
    <n v="200"/>
    <n v="0"/>
    <s v="Yes"/>
    <n v="0"/>
    <s v="Camp"/>
    <x v="0"/>
    <s v="Muslim"/>
    <n v="20.128488999999998"/>
    <n v="92.875814000000005"/>
    <s v="MMR012CMP039"/>
    <x v="0"/>
    <n v="100"/>
    <n v="301"/>
    <n v="401"/>
    <m/>
    <m/>
    <m/>
    <m/>
    <n v="380"/>
    <n v="2435"/>
  </r>
  <r>
    <x v="0"/>
    <x v="1"/>
    <x v="1"/>
    <s v="DFID/HARP"/>
    <x v="0"/>
    <x v="1"/>
    <x v="0"/>
    <x v="2"/>
    <n v="1012"/>
    <n v="4875"/>
    <n v="4.8171936758893281"/>
    <d v="2022-04-01T00:00:00"/>
    <d v="2022-06-30T00:00:00"/>
    <m/>
    <n v="42"/>
    <n v="50"/>
    <m/>
    <m/>
    <m/>
    <m/>
    <m/>
    <m/>
    <m/>
    <m/>
    <m/>
    <m/>
    <m/>
    <m/>
    <n v="232"/>
    <n v="254"/>
    <n v="221"/>
    <n v="285"/>
    <n v="1"/>
    <n v="0.97"/>
    <n v="0.11"/>
    <n v="12"/>
    <n v="183"/>
    <n v="11"/>
    <m/>
    <x v="0"/>
    <m/>
    <n v="37"/>
    <n v="26"/>
    <n v="8"/>
    <n v="131"/>
    <n v="1012"/>
    <n v="2024"/>
    <n v="0.86"/>
    <n v="1"/>
    <n v="0"/>
    <m/>
    <n v="0.94"/>
    <n v="0.87"/>
    <n v="0.9"/>
    <n v="0.86"/>
    <m/>
    <n v="254"/>
    <m/>
    <m/>
    <m/>
    <m/>
    <m/>
    <m/>
    <s v="no test"/>
    <s v="no test"/>
    <x v="0"/>
    <n v="1"/>
    <n v="4875"/>
    <n v="9.75"/>
    <n v="0"/>
    <n v="0"/>
    <n v="10"/>
    <n v="0.25"/>
    <n v="1"/>
    <n v="4875"/>
    <n v="21.012931034482758"/>
    <n v="550"/>
    <n v="0"/>
    <n v="244"/>
    <n v="0"/>
    <n v="0"/>
    <n v="8.6614173228346455E-2"/>
    <n v="202"/>
    <n v="4875"/>
    <n v="2024"/>
    <n v="4875"/>
    <n v="4875"/>
    <n v="1"/>
    <n v="0"/>
    <n v="4.1435897435897436E-2"/>
    <n v="1"/>
    <s v="No"/>
    <n v="0.9"/>
    <n v="254"/>
    <n v="550"/>
    <n v="0"/>
    <s v="Yes"/>
    <n v="0"/>
    <s v="Camp"/>
    <x v="0"/>
    <s v="Muslim"/>
    <n v="20.179417000000001"/>
    <n v="92.813028000000003"/>
    <s v="MMR012CMP113"/>
    <x v="0"/>
    <n v="46"/>
    <n v="436"/>
    <n v="482"/>
    <m/>
    <m/>
    <m/>
    <m/>
    <n v="1012"/>
    <n v="5066"/>
  </r>
  <r>
    <x v="0"/>
    <x v="1"/>
    <x v="1"/>
    <s v="DFID/HARP"/>
    <x v="0"/>
    <x v="1"/>
    <x v="0"/>
    <x v="3"/>
    <n v="1331"/>
    <n v="7033"/>
    <n v="5.2839969947407965"/>
    <d v="2022-04-01T00:00:00"/>
    <d v="2022-06-30T00:00:00"/>
    <m/>
    <n v="69"/>
    <n v="79"/>
    <m/>
    <m/>
    <m/>
    <m/>
    <m/>
    <m/>
    <m/>
    <m/>
    <m/>
    <m/>
    <m/>
    <m/>
    <n v="265"/>
    <n v="328"/>
    <m/>
    <m/>
    <m/>
    <m/>
    <m/>
    <n v="12"/>
    <m/>
    <m/>
    <m/>
    <x v="0"/>
    <m/>
    <m/>
    <m/>
    <m/>
    <m/>
    <n v="1331"/>
    <n v="2662"/>
    <m/>
    <m/>
    <m/>
    <m/>
    <m/>
    <m/>
    <m/>
    <m/>
    <m/>
    <n v="328"/>
    <m/>
    <m/>
    <m/>
    <m/>
    <m/>
    <m/>
    <s v="no test"/>
    <s v="no test"/>
    <x v="0"/>
    <n v="1"/>
    <n v="7033"/>
    <n v="14.066000000000001"/>
    <n v="0"/>
    <n v="0"/>
    <n v="14"/>
    <n v="0"/>
    <n v="0.78771505758566762"/>
    <n v="5540"/>
    <n v="26.539622641509435"/>
    <n v="0"/>
    <n v="0"/>
    <n v="352"/>
    <n v="24"/>
    <n v="0.21228494241433238"/>
    <n v="0.19207317073170732"/>
    <n v="0"/>
    <n v="7033"/>
    <n v="2662"/>
    <n v="7033"/>
    <n v="7033"/>
    <n v="1"/>
    <n v="0"/>
    <n v="0"/>
    <n v="1"/>
    <s v="No"/>
    <n v="0"/>
    <n v="328"/>
    <n v="0"/>
    <n v="0"/>
    <s v="Yes"/>
    <n v="0"/>
    <s v="Camp"/>
    <x v="0"/>
    <s v="Muslim"/>
    <n v="20.181405999999999"/>
    <n v="92.807552000000001"/>
    <s v="MMR012CMP114"/>
    <x v="0"/>
    <n v="242"/>
    <n v="822"/>
    <n v="1064"/>
    <m/>
    <m/>
    <m/>
    <m/>
    <n v="1346"/>
    <n v="8414"/>
  </r>
  <r>
    <x v="0"/>
    <x v="1"/>
    <x v="1"/>
    <s v="DFID/HARP"/>
    <x v="0"/>
    <x v="1"/>
    <x v="0"/>
    <x v="4"/>
    <n v="1850"/>
    <n v="11056"/>
    <n v="5.9762162162162165"/>
    <d v="2022-04-01T00:00:00"/>
    <d v="2022-06-30T00:00:00"/>
    <m/>
    <n v="79"/>
    <n v="86"/>
    <m/>
    <m/>
    <m/>
    <m/>
    <m/>
    <m/>
    <m/>
    <m/>
    <m/>
    <m/>
    <m/>
    <m/>
    <n v="438"/>
    <n v="570"/>
    <n v="213"/>
    <n v="191"/>
    <s v=" ,"/>
    <n v="0.94"/>
    <n v="0.77"/>
    <n v="12"/>
    <n v="68"/>
    <n v="7"/>
    <m/>
    <x v="0"/>
    <m/>
    <n v="45"/>
    <n v="25"/>
    <n v="8"/>
    <n v="135"/>
    <n v="1850"/>
    <n v="3700"/>
    <n v="0.96"/>
    <n v="1"/>
    <n v="0"/>
    <m/>
    <n v="1"/>
    <n v="1"/>
    <n v="1"/>
    <n v="0.79"/>
    <m/>
    <n v="570"/>
    <m/>
    <m/>
    <m/>
    <m/>
    <m/>
    <m/>
    <s v="no test"/>
    <s v="no test"/>
    <x v="0"/>
    <n v="1"/>
    <n v="11056"/>
    <n v="22.111999999999998"/>
    <n v="0"/>
    <n v="0"/>
    <n v="22"/>
    <n v="0"/>
    <n v="0.82018813314037631"/>
    <n v="9068"/>
    <n v="25.24200913242009"/>
    <n v="350"/>
    <n v="0"/>
    <n v="553"/>
    <n v="0"/>
    <n v="0.17981186685962369"/>
    <n v="0.23157894736842105"/>
    <n v="213"/>
    <n v="11056"/>
    <n v="3700"/>
    <n v="11056"/>
    <n v="11056"/>
    <n v="1"/>
    <n v="0"/>
    <n v="1.9265557163531115E-2"/>
    <n v="1"/>
    <s v="No"/>
    <n v="1"/>
    <n v="570"/>
    <n v="350"/>
    <n v="0"/>
    <s v="Yes"/>
    <n v="0"/>
    <s v="Camp"/>
    <x v="0"/>
    <s v="Muslim"/>
    <n v="20.16846"/>
    <n v="92.827427"/>
    <s v="MMR012CMP041"/>
    <x v="0"/>
    <n v="104"/>
    <n v="810"/>
    <n v="914"/>
    <m/>
    <m/>
    <m/>
    <m/>
    <n v="1713"/>
    <n v="11460"/>
  </r>
  <r>
    <x v="0"/>
    <x v="2"/>
    <x v="2"/>
    <s v="DFID/HARP"/>
    <x v="0"/>
    <x v="1"/>
    <x v="0"/>
    <x v="5"/>
    <n v="400"/>
    <n v="2248"/>
    <n v="5.62"/>
    <d v="2021-01-01T00:00:00"/>
    <d v="2022-01-31T00:00:00"/>
    <m/>
    <n v="47"/>
    <n v="53"/>
    <m/>
    <m/>
    <m/>
    <m/>
    <m/>
    <m/>
    <m/>
    <m/>
    <m/>
    <m/>
    <m/>
    <m/>
    <n v="100"/>
    <n v="116"/>
    <m/>
    <m/>
    <m/>
    <m/>
    <m/>
    <n v="12"/>
    <n v="29"/>
    <n v="4"/>
    <m/>
    <x v="0"/>
    <m/>
    <m/>
    <m/>
    <m/>
    <m/>
    <m/>
    <m/>
    <m/>
    <m/>
    <n v="5"/>
    <m/>
    <m/>
    <m/>
    <m/>
    <m/>
    <m/>
    <m/>
    <m/>
    <m/>
    <m/>
    <m/>
    <m/>
    <m/>
    <s v="no test"/>
    <s v="no test"/>
    <x v="0"/>
    <n v="1"/>
    <n v="2248"/>
    <n v="4.4960000000000004"/>
    <n v="0"/>
    <n v="0"/>
    <n v="4"/>
    <n v="0"/>
    <n v="1"/>
    <n v="2248"/>
    <n v="22.48"/>
    <n v="200"/>
    <n v="0"/>
    <n v="112"/>
    <n v="0"/>
    <n v="0"/>
    <n v="0.13793103448275862"/>
    <n v="0"/>
    <n v="0"/>
    <n v="0"/>
    <n v="0"/>
    <n v="0"/>
    <n v="0"/>
    <n v="1"/>
    <n v="0"/>
    <n v="0"/>
    <s v="No"/>
    <n v="0"/>
    <n v="0"/>
    <n v="200"/>
    <n v="0"/>
    <s v="Yes"/>
    <n v="0"/>
    <s v="Camp"/>
    <x v="0"/>
    <s v="Muslim"/>
    <n v="20.181778000000001"/>
    <n v="92.823166999999998"/>
    <s v="MMR012CMP042"/>
    <x v="0"/>
    <n v="47"/>
    <n v="306"/>
    <n v="353"/>
    <m/>
    <m/>
    <m/>
    <m/>
    <n v="392"/>
    <n v="2455"/>
  </r>
  <r>
    <x v="0"/>
    <x v="1"/>
    <x v="1"/>
    <s v="DFID/HARP"/>
    <x v="0"/>
    <x v="1"/>
    <x v="0"/>
    <x v="6"/>
    <n v="400"/>
    <n v="2186"/>
    <n v="5.4649999999999999"/>
    <d v="2021-01-01T00:00:00"/>
    <d v="2022-01-31T00:00:00"/>
    <m/>
    <n v="24"/>
    <n v="26"/>
    <m/>
    <m/>
    <m/>
    <m/>
    <m/>
    <m/>
    <m/>
    <m/>
    <m/>
    <m/>
    <m/>
    <m/>
    <n v="100"/>
    <n v="104"/>
    <m/>
    <m/>
    <m/>
    <m/>
    <m/>
    <n v="8"/>
    <n v="32"/>
    <n v="3"/>
    <m/>
    <x v="0"/>
    <m/>
    <m/>
    <m/>
    <m/>
    <m/>
    <m/>
    <m/>
    <m/>
    <m/>
    <n v="0"/>
    <m/>
    <m/>
    <m/>
    <m/>
    <m/>
    <m/>
    <m/>
    <m/>
    <m/>
    <m/>
    <m/>
    <m/>
    <m/>
    <s v="no test"/>
    <s v="no test"/>
    <x v="0"/>
    <n v="1"/>
    <n v="2186"/>
    <n v="4.3719999999999999"/>
    <n v="0"/>
    <n v="0"/>
    <n v="4"/>
    <n v="0"/>
    <n v="1"/>
    <n v="2186"/>
    <n v="21.86"/>
    <n v="150"/>
    <n v="0"/>
    <n v="109"/>
    <n v="5"/>
    <n v="0"/>
    <n v="3.8461538461538464E-2"/>
    <n v="0"/>
    <n v="0"/>
    <n v="0"/>
    <n v="0"/>
    <n v="0"/>
    <n v="0"/>
    <n v="1"/>
    <n v="0"/>
    <n v="0"/>
    <s v="No"/>
    <n v="0"/>
    <n v="0"/>
    <n v="150"/>
    <n v="0"/>
    <n v="0"/>
    <n v="0"/>
    <s v="Camp"/>
    <x v="0"/>
    <s v="Muslim"/>
    <n v="20.180194"/>
    <n v="92.816638999999995"/>
    <s v="MMR012CMP042"/>
    <x v="0"/>
    <n v="70"/>
    <n v="241"/>
    <n v="311"/>
    <m/>
    <m/>
    <m/>
    <m/>
    <n v="400"/>
    <n v="2228"/>
  </r>
  <r>
    <x v="0"/>
    <x v="3"/>
    <x v="3"/>
    <s v="UNICEF"/>
    <x v="0"/>
    <x v="2"/>
    <x v="0"/>
    <x v="7"/>
    <n v="372"/>
    <n v="1067"/>
    <n v="2.868279569892473"/>
    <d v="2021-07-01T00:00:00"/>
    <d v="2022-06-30T00:00:00"/>
    <m/>
    <m/>
    <m/>
    <n v="14"/>
    <n v="19"/>
    <m/>
    <n v="1067"/>
    <n v="36"/>
    <n v="1"/>
    <n v="84"/>
    <n v="0.99"/>
    <n v="376"/>
    <n v="197"/>
    <n v="0"/>
    <s v="CDA provided 367 UNICEF Logo bucket (20 liter and 10 liters) to Kyauk Talone camp in March 2022."/>
    <n v="94"/>
    <n v="94"/>
    <n v="23"/>
    <n v="94"/>
    <n v="1"/>
    <n v="1"/>
    <n v="1"/>
    <m/>
    <m/>
    <n v="8"/>
    <m/>
    <x v="0"/>
    <s v="10% of women complained this PD sanitation pad because these pads are thin and not confortable  for day using but better using for night time."/>
    <n v="124"/>
    <n v="199"/>
    <n v="33"/>
    <n v="41"/>
    <n v="376"/>
    <n v="511"/>
    <n v="0"/>
    <n v="0.95"/>
    <n v="8"/>
    <m/>
    <m/>
    <m/>
    <m/>
    <m/>
    <n v="0"/>
    <m/>
    <m/>
    <m/>
    <m/>
    <m/>
    <m/>
    <m/>
    <s v="Tested"/>
    <s v="Tested"/>
    <x v="1"/>
    <n v="1"/>
    <n v="1067"/>
    <n v="2.1339999999999999"/>
    <n v="0"/>
    <n v="0"/>
    <n v="2"/>
    <n v="0"/>
    <n v="1"/>
    <n v="1067"/>
    <n v="11.351063829787234"/>
    <n v="400"/>
    <n v="0"/>
    <n v="53"/>
    <n v="0"/>
    <n v="0"/>
    <n v="0"/>
    <n v="397"/>
    <n v="1067"/>
    <n v="511"/>
    <n v="1067"/>
    <n v="1067"/>
    <n v="1"/>
    <n v="0"/>
    <n v="0.37207122774133083"/>
    <n v="1"/>
    <s v="No"/>
    <n v="0"/>
    <n v="0"/>
    <n v="400"/>
    <n v="0"/>
    <s v="Yes"/>
    <s v="UNHCR"/>
    <s v="Camp"/>
    <x v="0"/>
    <s v="Muslim"/>
    <n v="19.424576999999999"/>
    <n v="93.512326000000002"/>
    <s v="MMR012CMP035"/>
    <x v="0"/>
    <n v="0"/>
    <n v="0"/>
    <n v="0"/>
    <m/>
    <m/>
    <m/>
    <m/>
    <n v="334"/>
    <n v="1001"/>
  </r>
  <r>
    <x v="0"/>
    <x v="0"/>
    <x v="0"/>
    <s v="UNICEF, OFDA"/>
    <x v="0"/>
    <x v="0"/>
    <x v="0"/>
    <x v="8"/>
    <n v="1387"/>
    <n v="6674"/>
    <n v="4.8118240807498198"/>
    <d v="2018-12-11T00:00:00"/>
    <d v="2022-02-28T00:00:00"/>
    <m/>
    <m/>
    <m/>
    <n v="36"/>
    <n v="36"/>
    <m/>
    <n v="6674"/>
    <m/>
    <m/>
    <m/>
    <m/>
    <m/>
    <m/>
    <m/>
    <m/>
    <n v="212"/>
    <n v="238"/>
    <m/>
    <m/>
    <n v="0.99"/>
    <n v="0.98"/>
    <n v="0.98"/>
    <n v="18"/>
    <n v="69"/>
    <m/>
    <n v="3"/>
    <x v="0"/>
    <s v="The result of percentage indicators were from the KAP survey conducted in Sep 2021. The next survey will be done in April 2022."/>
    <n v="1375"/>
    <n v="1497"/>
    <n v="1953"/>
    <n v="1849"/>
    <n v="1387"/>
    <n v="2774"/>
    <m/>
    <n v="0.79"/>
    <m/>
    <s v="Distribution done in March covering 2 months"/>
    <n v="0.83"/>
    <n v="0.99"/>
    <n v="0.97"/>
    <n v="1"/>
    <m/>
    <m/>
    <m/>
    <m/>
    <m/>
    <m/>
    <m/>
    <m/>
    <s v="no test"/>
    <s v="no test"/>
    <x v="0"/>
    <n v="1"/>
    <n v="6674"/>
    <n v="13.348000000000001"/>
    <n v="0"/>
    <n v="0"/>
    <n v="13"/>
    <n v="0"/>
    <n v="0.69958046149235842"/>
    <n v="4669"/>
    <n v="31.481132075471699"/>
    <n v="0"/>
    <n v="150"/>
    <n v="334"/>
    <n v="96"/>
    <n v="0.30041953850764158"/>
    <n v="0.1092436974789916"/>
    <n v="6674"/>
    <n v="6674"/>
    <n v="2774"/>
    <n v="6674"/>
    <n v="6674"/>
    <n v="1"/>
    <n v="0"/>
    <n v="1"/>
    <n v="1"/>
    <s v="No"/>
    <n v="0.97"/>
    <n v="0"/>
    <n v="0"/>
    <n v="150"/>
    <s v="Yes"/>
    <s v="DRC"/>
    <s v="Camp"/>
    <x v="0"/>
    <s v="Muslim"/>
    <n v="20.090183"/>
    <n v="93.010368999999997"/>
    <s v="MMR012CMP018"/>
    <x v="0"/>
    <n v="95"/>
    <n v="1102"/>
    <n v="1197"/>
    <m/>
    <m/>
    <m/>
    <m/>
    <n v="1387"/>
    <n v="6674"/>
  </r>
  <r>
    <x v="0"/>
    <x v="2"/>
    <x v="2"/>
    <s v="DFID/HARP"/>
    <x v="0"/>
    <x v="1"/>
    <x v="0"/>
    <x v="9"/>
    <n v="656"/>
    <n v="3486"/>
    <n v="5.3140243902439028"/>
    <d v="2021-01-01T00:00:00"/>
    <d v="2022-01-31T00:00:00"/>
    <m/>
    <n v="29"/>
    <n v="39"/>
    <m/>
    <m/>
    <m/>
    <m/>
    <m/>
    <m/>
    <m/>
    <m/>
    <m/>
    <m/>
    <m/>
    <m/>
    <n v="199"/>
    <n v="228"/>
    <m/>
    <m/>
    <m/>
    <m/>
    <m/>
    <n v="2"/>
    <n v="42"/>
    <n v="8"/>
    <m/>
    <x v="0"/>
    <m/>
    <m/>
    <m/>
    <m/>
    <m/>
    <m/>
    <m/>
    <m/>
    <m/>
    <n v="3"/>
    <m/>
    <m/>
    <m/>
    <m/>
    <m/>
    <m/>
    <m/>
    <m/>
    <m/>
    <m/>
    <m/>
    <m/>
    <m/>
    <s v="no test"/>
    <s v="no test"/>
    <x v="0"/>
    <n v="1"/>
    <n v="3486"/>
    <n v="6.9720000000000004"/>
    <n v="0"/>
    <n v="0"/>
    <n v="7"/>
    <n v="2.7999999999999581E-2"/>
    <n v="1"/>
    <n v="3486"/>
    <n v="17.517587939698494"/>
    <n v="400"/>
    <n v="0"/>
    <n v="174"/>
    <n v="0"/>
    <n v="0"/>
    <n v="0.12719298245614036"/>
    <n v="0"/>
    <n v="0"/>
    <n v="0"/>
    <n v="0"/>
    <n v="0"/>
    <n v="0"/>
    <n v="1"/>
    <n v="0"/>
    <n v="0"/>
    <s v="No"/>
    <n v="0"/>
    <n v="0"/>
    <n v="400"/>
    <n v="0"/>
    <s v="Yes"/>
    <n v="0"/>
    <s v="Camp"/>
    <x v="0"/>
    <s v="Muslim"/>
    <n v="20.185917"/>
    <n v="92.831000000000003"/>
    <s v="MMR012CMP092"/>
    <x v="0"/>
    <n v="88"/>
    <n v="397"/>
    <n v="485"/>
    <m/>
    <m/>
    <m/>
    <m/>
    <n v="657"/>
    <n v="3906"/>
  </r>
  <r>
    <x v="0"/>
    <x v="0"/>
    <x v="0"/>
    <s v="ECHO, OFDA, CDC "/>
    <x v="0"/>
    <x v="0"/>
    <x v="0"/>
    <x v="10"/>
    <n v="1076"/>
    <n v="5024"/>
    <n v="4.6691449814126393"/>
    <d v="2019-03-01T00:00:00"/>
    <d v="2022-02-28T00:00:00"/>
    <m/>
    <m/>
    <m/>
    <n v="9"/>
    <n v="9"/>
    <m/>
    <n v="5024"/>
    <m/>
    <m/>
    <m/>
    <m/>
    <m/>
    <m/>
    <m/>
    <m/>
    <n v="121"/>
    <n v="154"/>
    <m/>
    <m/>
    <n v="0.99"/>
    <n v="0.98"/>
    <n v="0.98"/>
    <n v="25"/>
    <n v="120"/>
    <m/>
    <n v="2"/>
    <x v="0"/>
    <s v="The result of percentage indicators were from the KAP survey conducted in Sep 2021. The next survey will be done in April 2022."/>
    <n v="974"/>
    <n v="1090"/>
    <n v="1516"/>
    <n v="1444"/>
    <n v="1059"/>
    <n v="2118"/>
    <m/>
    <n v="0.79"/>
    <m/>
    <s v="Distribution done in March covering 3 months"/>
    <n v="0.99"/>
    <n v="0.99"/>
    <n v="0.95"/>
    <n v="1"/>
    <m/>
    <m/>
    <m/>
    <m/>
    <m/>
    <m/>
    <m/>
    <m/>
    <s v="no test"/>
    <s v="no test"/>
    <x v="0"/>
    <n v="1"/>
    <n v="5024"/>
    <n v="10.048"/>
    <n v="0"/>
    <n v="0"/>
    <n v="10"/>
    <n v="0"/>
    <n v="0.60509554140127386"/>
    <n v="3040"/>
    <n v="41.52066115702479"/>
    <n v="0"/>
    <n v="100"/>
    <n v="251"/>
    <n v="97"/>
    <n v="0.39490445859872614"/>
    <n v="0.21428571428571427"/>
    <n v="5024"/>
    <n v="4944.6245353159848"/>
    <n v="2118"/>
    <n v="4944.6245353159848"/>
    <n v="5024"/>
    <n v="1"/>
    <n v="0"/>
    <n v="1"/>
    <n v="0.98420074349442377"/>
    <s v="No"/>
    <n v="0.95"/>
    <n v="0"/>
    <n v="0"/>
    <n v="100"/>
    <s v="Yes"/>
    <s v="LWF"/>
    <s v="Camp"/>
    <x v="1"/>
    <s v="Muslim"/>
    <n v="20.073437999999999"/>
    <n v="93.154551999999995"/>
    <s v="MMR012CMP017"/>
    <x v="0"/>
    <n v="159"/>
    <n v="923"/>
    <n v="1082"/>
    <m/>
    <m/>
    <m/>
    <m/>
    <n v="1059"/>
    <n v="5004"/>
  </r>
  <r>
    <x v="0"/>
    <x v="0"/>
    <x v="0"/>
    <s v="ECHO, OFDA, CDC "/>
    <x v="0"/>
    <x v="0"/>
    <x v="0"/>
    <x v="11"/>
    <n v="1064"/>
    <n v="5137"/>
    <n v="4.8280075187969924"/>
    <d v="2019-03-01T00:00:00"/>
    <d v="2022-02-28T00:00:00"/>
    <m/>
    <m/>
    <m/>
    <n v="7"/>
    <n v="7"/>
    <m/>
    <n v="5137"/>
    <m/>
    <m/>
    <m/>
    <m/>
    <m/>
    <m/>
    <m/>
    <m/>
    <n v="148"/>
    <n v="189"/>
    <m/>
    <m/>
    <n v="0.99"/>
    <n v="0.98"/>
    <n v="0.98"/>
    <n v="34"/>
    <n v="80"/>
    <m/>
    <n v="3"/>
    <x v="0"/>
    <s v="The result of percentage indicators were from the KAP survey conducted in Sep 2021. The next survey will be done in April 2022."/>
    <n v="1051"/>
    <n v="1120"/>
    <n v="1582"/>
    <n v="1384"/>
    <n v="1064"/>
    <n v="2128"/>
    <m/>
    <n v="0.79"/>
    <m/>
    <s v="Distribution done March covering 3 months"/>
    <n v="0.99"/>
    <n v="0.98"/>
    <n v="0.96"/>
    <n v="1"/>
    <m/>
    <m/>
    <m/>
    <m/>
    <m/>
    <m/>
    <m/>
    <m/>
    <s v="no test"/>
    <s v="no test"/>
    <x v="0"/>
    <n v="1"/>
    <n v="5137"/>
    <n v="10.273999999999999"/>
    <n v="0"/>
    <n v="0"/>
    <n v="10"/>
    <n v="0"/>
    <n v="0.72415806891181622"/>
    <n v="3720"/>
    <n v="34.70945945945946"/>
    <n v="0"/>
    <n v="150"/>
    <n v="257"/>
    <n v="68"/>
    <n v="0.27584193108818378"/>
    <n v="0.21693121693121692"/>
    <n v="5137"/>
    <n v="5137"/>
    <n v="2128"/>
    <n v="5137"/>
    <n v="5137"/>
    <n v="1"/>
    <n v="0"/>
    <n v="1"/>
    <n v="1"/>
    <s v="No"/>
    <n v="0.96"/>
    <n v="0"/>
    <n v="0"/>
    <n v="150"/>
    <s v="Yes"/>
    <s v="LWF"/>
    <s v="Camp"/>
    <x v="0"/>
    <s v="Muslim"/>
    <n v="20.073437999999999"/>
    <n v="93.154551999999995"/>
    <s v="MMR012CMP017"/>
    <x v="0"/>
    <n v="116"/>
    <n v="693"/>
    <n v="809"/>
    <m/>
    <m/>
    <m/>
    <m/>
    <n v="982"/>
    <n v="4828"/>
  </r>
  <r>
    <x v="0"/>
    <x v="2"/>
    <x v="2"/>
    <s v="DFID/HARP"/>
    <x v="0"/>
    <x v="1"/>
    <x v="0"/>
    <x v="12"/>
    <n v="774"/>
    <n v="3095"/>
    <n v="3.9987080103359172"/>
    <d v="2021-01-01T00:00:00"/>
    <d v="2022-01-31T00:00:00"/>
    <m/>
    <n v="59"/>
    <n v="80"/>
    <m/>
    <m/>
    <m/>
    <m/>
    <m/>
    <m/>
    <m/>
    <m/>
    <m/>
    <m/>
    <m/>
    <m/>
    <n v="140"/>
    <n v="187"/>
    <m/>
    <m/>
    <m/>
    <m/>
    <m/>
    <m/>
    <n v="19"/>
    <n v="2"/>
    <m/>
    <x v="0"/>
    <m/>
    <m/>
    <m/>
    <m/>
    <m/>
    <m/>
    <m/>
    <m/>
    <m/>
    <m/>
    <m/>
    <m/>
    <m/>
    <m/>
    <m/>
    <m/>
    <m/>
    <m/>
    <m/>
    <m/>
    <m/>
    <m/>
    <m/>
    <s v="no test"/>
    <s v="no test"/>
    <x v="0"/>
    <n v="1"/>
    <n v="3095"/>
    <n v="6.19"/>
    <n v="0"/>
    <n v="0"/>
    <n v="6"/>
    <n v="0"/>
    <n v="0.91082390953150238"/>
    <n v="2819"/>
    <n v="22.107142857142858"/>
    <n v="100"/>
    <n v="0"/>
    <n v="155"/>
    <n v="0"/>
    <n v="8.9176090468497615E-2"/>
    <n v="0.25133689839572193"/>
    <n v="0"/>
    <n v="0"/>
    <n v="0"/>
    <n v="0"/>
    <n v="0"/>
    <n v="0"/>
    <n v="1"/>
    <n v="0"/>
    <n v="0"/>
    <s v="No"/>
    <n v="0"/>
    <n v="0"/>
    <n v="100"/>
    <n v="0"/>
    <s v="Yes"/>
    <n v="0"/>
    <s v="Camp"/>
    <x v="0"/>
    <s v="Muslim"/>
    <n v="20.206778"/>
    <n v="92.774193999999994"/>
    <s v="MMR012CMP098"/>
    <x v="0"/>
    <n v="42"/>
    <n v="432"/>
    <n v="474"/>
    <m/>
    <m/>
    <m/>
    <m/>
    <n v="777"/>
    <n v="4735"/>
  </r>
  <r>
    <x v="0"/>
    <x v="2"/>
    <x v="2"/>
    <s v="DFID/HARP"/>
    <x v="0"/>
    <x v="1"/>
    <x v="0"/>
    <x v="13"/>
    <n v="2728"/>
    <n v="13302"/>
    <n v="4.8760997067448679"/>
    <d v="2021-01-01T00:00:00"/>
    <d v="2022-01-31T00:00:00"/>
    <m/>
    <n v="205"/>
    <n v="226"/>
    <m/>
    <m/>
    <m/>
    <m/>
    <m/>
    <m/>
    <m/>
    <m/>
    <m/>
    <m/>
    <m/>
    <m/>
    <n v="546"/>
    <n v="689"/>
    <m/>
    <m/>
    <m/>
    <m/>
    <m/>
    <n v="20"/>
    <n v="120"/>
    <n v="34"/>
    <m/>
    <x v="0"/>
    <m/>
    <m/>
    <m/>
    <m/>
    <m/>
    <m/>
    <m/>
    <m/>
    <m/>
    <n v="2"/>
    <m/>
    <m/>
    <m/>
    <m/>
    <m/>
    <m/>
    <m/>
    <m/>
    <m/>
    <m/>
    <m/>
    <m/>
    <m/>
    <s v="no test"/>
    <s v="no test"/>
    <x v="0"/>
    <n v="1"/>
    <n v="13302"/>
    <n v="26.603999999999999"/>
    <n v="0"/>
    <n v="0"/>
    <n v="27"/>
    <n v="0.3960000000000008"/>
    <n v="0.86002104946624569"/>
    <n v="11440"/>
    <n v="24.362637362637361"/>
    <n v="1700"/>
    <n v="0"/>
    <n v="665"/>
    <n v="0"/>
    <n v="0.13997895053375431"/>
    <n v="0.20754716981132076"/>
    <n v="0"/>
    <n v="0"/>
    <n v="0"/>
    <n v="0"/>
    <n v="0"/>
    <n v="0"/>
    <n v="1"/>
    <n v="0"/>
    <n v="0"/>
    <s v="No"/>
    <n v="0"/>
    <n v="0"/>
    <n v="1700"/>
    <n v="0"/>
    <s v="Yes"/>
    <n v="0"/>
    <s v="Camp"/>
    <x v="0"/>
    <s v="Muslim"/>
    <n v="20.18994"/>
    <n v="92.798880999999994"/>
    <s v="MMR012CMP115"/>
    <x v="0"/>
    <n v="168"/>
    <n v="1744"/>
    <n v="1912"/>
    <m/>
    <m/>
    <m/>
    <m/>
    <n v="2640"/>
    <n v="15778"/>
  </r>
  <r>
    <x v="0"/>
    <x v="4"/>
    <x v="4"/>
    <s v="OFDA"/>
    <x v="0"/>
    <x v="1"/>
    <x v="0"/>
    <x v="14"/>
    <n v="2260"/>
    <n v="11478"/>
    <n v="5.0787610619469028"/>
    <d v="2021-06-01T00:00:00"/>
    <d v="2022-05-31T00:00:00"/>
    <m/>
    <n v="199"/>
    <n v="223"/>
    <m/>
    <m/>
    <m/>
    <m/>
    <m/>
    <m/>
    <m/>
    <m/>
    <m/>
    <m/>
    <m/>
    <m/>
    <n v="828"/>
    <n v="828"/>
    <m/>
    <m/>
    <m/>
    <m/>
    <m/>
    <n v="2"/>
    <n v="46"/>
    <m/>
    <m/>
    <x v="0"/>
    <m/>
    <m/>
    <m/>
    <m/>
    <m/>
    <m/>
    <m/>
    <m/>
    <m/>
    <m/>
    <m/>
    <m/>
    <m/>
    <m/>
    <m/>
    <m/>
    <m/>
    <m/>
    <m/>
    <m/>
    <m/>
    <m/>
    <m/>
    <s v="no test"/>
    <s v="no test"/>
    <x v="0"/>
    <n v="1"/>
    <n v="11478"/>
    <n v="22.956"/>
    <n v="0"/>
    <n v="0"/>
    <n v="23"/>
    <n v="4.4000000000000483E-2"/>
    <n v="1"/>
    <n v="11478"/>
    <n v="13.862318840579711"/>
    <n v="0"/>
    <n v="0"/>
    <n v="574"/>
    <n v="0"/>
    <n v="0"/>
    <n v="0"/>
    <n v="0"/>
    <n v="0"/>
    <n v="0"/>
    <n v="0"/>
    <n v="0"/>
    <n v="0"/>
    <n v="1"/>
    <n v="0"/>
    <n v="0"/>
    <s v="No"/>
    <n v="0"/>
    <n v="0"/>
    <n v="0"/>
    <n v="0"/>
    <s v="Yes"/>
    <n v="0"/>
    <s v="Camp"/>
    <x v="0"/>
    <s v="Muslim"/>
    <n v="20.185092000000001"/>
    <n v="92.802295999999998"/>
    <s v="MMR012CMP116"/>
    <x v="0"/>
    <n v="223"/>
    <n v="1507"/>
    <n v="1730"/>
    <m/>
    <m/>
    <m/>
    <m/>
    <n v="2275"/>
    <n v="12341"/>
  </r>
  <r>
    <x v="0"/>
    <x v="4"/>
    <x v="4"/>
    <s v="OFDA"/>
    <x v="0"/>
    <x v="1"/>
    <x v="0"/>
    <x v="15"/>
    <n v="400"/>
    <n v="2446"/>
    <n v="6.1150000000000002"/>
    <d v="2021-06-01T00:00:00"/>
    <d v="2022-05-31T00:00:00"/>
    <m/>
    <n v="41"/>
    <n v="42"/>
    <m/>
    <m/>
    <m/>
    <m/>
    <m/>
    <m/>
    <m/>
    <m/>
    <m/>
    <m/>
    <m/>
    <m/>
    <n v="150"/>
    <n v="150"/>
    <m/>
    <m/>
    <m/>
    <m/>
    <m/>
    <n v="3"/>
    <n v="9"/>
    <m/>
    <m/>
    <x v="0"/>
    <m/>
    <m/>
    <m/>
    <m/>
    <m/>
    <m/>
    <m/>
    <m/>
    <m/>
    <m/>
    <m/>
    <m/>
    <m/>
    <m/>
    <m/>
    <m/>
    <m/>
    <m/>
    <m/>
    <m/>
    <m/>
    <m/>
    <m/>
    <s v="no test"/>
    <s v="no test"/>
    <x v="0"/>
    <n v="1"/>
    <n v="2446"/>
    <n v="4.8920000000000003"/>
    <n v="0"/>
    <n v="0"/>
    <n v="5"/>
    <n v="0.10799999999999965"/>
    <n v="1"/>
    <n v="2446"/>
    <n v="16.306666666666668"/>
    <n v="0"/>
    <n v="0"/>
    <n v="122"/>
    <n v="0"/>
    <n v="0"/>
    <n v="0"/>
    <n v="0"/>
    <n v="0"/>
    <n v="0"/>
    <n v="0"/>
    <n v="0"/>
    <n v="0"/>
    <n v="1"/>
    <n v="0"/>
    <n v="0"/>
    <s v="No"/>
    <n v="0"/>
    <n v="0"/>
    <n v="0"/>
    <n v="0"/>
    <n v="0"/>
    <n v="0"/>
    <s v="Camp"/>
    <x v="0"/>
    <s v="Muslim"/>
    <n v="20.207284999999999"/>
    <n v="92.788177000000005"/>
    <s v="MMR012CMP045"/>
    <x v="0"/>
    <n v="0"/>
    <n v="0"/>
    <n v="0"/>
    <m/>
    <m/>
    <m/>
    <m/>
    <n v="0"/>
    <n v="0"/>
  </r>
  <r>
    <x v="0"/>
    <x v="2"/>
    <x v="2"/>
    <s v="DFID/HARP"/>
    <x v="0"/>
    <x v="1"/>
    <x v="0"/>
    <x v="16"/>
    <n v="2280"/>
    <n v="11564"/>
    <n v="5.0719298245614031"/>
    <d v="2021-01-01T00:00:00"/>
    <d v="2022-01-31T00:00:00"/>
    <m/>
    <n v="192"/>
    <n v="193"/>
    <m/>
    <m/>
    <m/>
    <m/>
    <m/>
    <m/>
    <m/>
    <m/>
    <m/>
    <m/>
    <m/>
    <m/>
    <n v="430"/>
    <n v="520"/>
    <m/>
    <m/>
    <m/>
    <m/>
    <m/>
    <n v="12"/>
    <n v="51"/>
    <n v="40"/>
    <m/>
    <x v="0"/>
    <m/>
    <m/>
    <m/>
    <m/>
    <m/>
    <m/>
    <m/>
    <m/>
    <m/>
    <n v="32"/>
    <m/>
    <m/>
    <m/>
    <m/>
    <m/>
    <m/>
    <m/>
    <m/>
    <m/>
    <m/>
    <m/>
    <m/>
    <m/>
    <s v="no test"/>
    <s v="no test"/>
    <x v="0"/>
    <n v="1"/>
    <n v="11564"/>
    <n v="23.128"/>
    <n v="0"/>
    <n v="0"/>
    <n v="23"/>
    <n v="0"/>
    <n v="0.76885160843998612"/>
    <n v="8891"/>
    <n v="26.893023255813954"/>
    <n v="2000"/>
    <n v="0"/>
    <n v="578"/>
    <n v="58"/>
    <n v="0.23114839156001388"/>
    <n v="0.17307692307692307"/>
    <n v="0"/>
    <n v="0"/>
    <n v="0"/>
    <n v="0"/>
    <n v="0"/>
    <n v="0"/>
    <n v="1"/>
    <n v="0"/>
    <n v="0"/>
    <s v="No"/>
    <n v="0"/>
    <n v="0"/>
    <n v="2000"/>
    <n v="0"/>
    <s v="Yes"/>
    <n v="0"/>
    <s v="Camp"/>
    <x v="0"/>
    <s v="Muslim"/>
    <n v="20.202525000000001"/>
    <n v="92.792479999999998"/>
    <s v="MMR012CMP045"/>
    <x v="0"/>
    <n v="114"/>
    <n v="1144"/>
    <n v="1258"/>
    <m/>
    <m/>
    <m/>
    <m/>
    <n v="2678"/>
    <n v="14788"/>
  </r>
  <r>
    <x v="0"/>
    <x v="4"/>
    <x v="4"/>
    <s v="BHA-USAID"/>
    <x v="0"/>
    <x v="0"/>
    <x v="0"/>
    <x v="17"/>
    <n v="729"/>
    <n v="2516"/>
    <n v="3.4513031550068587"/>
    <d v="2021-06-01T00:00:00"/>
    <d v="2022-05-31T00:00:00"/>
    <m/>
    <m/>
    <m/>
    <n v="15"/>
    <n v="16"/>
    <m/>
    <n v="2516"/>
    <m/>
    <m/>
    <m/>
    <m/>
    <m/>
    <m/>
    <m/>
    <s v="water testing in STM- IDP, we distributed chlorination water and tested FRC result is 100&amp; good."/>
    <n v="362"/>
    <n v="358"/>
    <n v="87"/>
    <n v="119"/>
    <m/>
    <m/>
    <m/>
    <n v="1"/>
    <m/>
    <m/>
    <m/>
    <x v="0"/>
    <m/>
    <n v="1125"/>
    <n v="1725"/>
    <n v="372"/>
    <n v="446"/>
    <n v="729"/>
    <n v="771"/>
    <n v="1"/>
    <m/>
    <m/>
    <m/>
    <m/>
    <m/>
    <m/>
    <m/>
    <m/>
    <m/>
    <m/>
    <m/>
    <m/>
    <m/>
    <m/>
    <m/>
    <s v="no test"/>
    <s v="no test"/>
    <x v="0"/>
    <n v="1"/>
    <n v="2516"/>
    <n v="5.032"/>
    <n v="0"/>
    <n v="0"/>
    <n v="5"/>
    <n v="0"/>
    <n v="1"/>
    <n v="2516"/>
    <n v="6.9502762430939224"/>
    <n v="0"/>
    <n v="0"/>
    <n v="126"/>
    <n v="0"/>
    <n v="0"/>
    <n v="-1.11731843575419E-2"/>
    <n v="3668"/>
    <n v="2516"/>
    <n v="771"/>
    <n v="2516"/>
    <n v="3668"/>
    <n v="1"/>
    <n v="0"/>
    <n v="1.4578696343402227"/>
    <n v="1"/>
    <s v="No"/>
    <n v="0"/>
    <n v="0"/>
    <n v="0"/>
    <n v="0"/>
    <s v="Yes"/>
    <s v="DRC"/>
    <s v="Camp"/>
    <x v="0"/>
    <s v="Muslim"/>
    <n v="20.064226000000001"/>
    <n v="92.993758999999997"/>
    <s v="MMR012CMP019"/>
    <x v="0"/>
    <n v="159"/>
    <n v="361"/>
    <n v="520"/>
    <m/>
    <m/>
    <m/>
    <m/>
    <n v="682"/>
    <n v="2588"/>
  </r>
  <r>
    <x v="0"/>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1"/>
    <n v="0"/>
    <n v="0"/>
    <s v="No"/>
    <n v="0"/>
    <n v="0"/>
    <n v="200"/>
    <n v="50"/>
    <s v="Yes"/>
    <s v="RI"/>
    <s v="Camp"/>
    <x v="0"/>
    <s v="Muslim"/>
    <n v="20.037655000000001"/>
    <n v="93.370037999999994"/>
    <s v="MMR012CMP014"/>
    <x v="0"/>
    <n v="73"/>
    <n v="318"/>
    <n v="391"/>
    <m/>
    <m/>
    <m/>
    <m/>
    <n v="747"/>
    <n v="3495"/>
  </r>
  <r>
    <x v="0"/>
    <x v="1"/>
    <x v="1"/>
    <s v="DFID/HARP"/>
    <x v="0"/>
    <x v="1"/>
    <x v="0"/>
    <x v="19"/>
    <n v="1139"/>
    <n v="6016"/>
    <n v="5.2818261633011412"/>
    <d v="2021-01-01T00:00:00"/>
    <d v="2022-01-31T00:00:00"/>
    <m/>
    <n v="39"/>
    <n v="42"/>
    <m/>
    <m/>
    <m/>
    <m/>
    <m/>
    <m/>
    <m/>
    <m/>
    <m/>
    <m/>
    <m/>
    <m/>
    <n v="218"/>
    <n v="253"/>
    <m/>
    <m/>
    <m/>
    <m/>
    <m/>
    <m/>
    <n v="26"/>
    <n v="2"/>
    <m/>
    <x v="0"/>
    <m/>
    <m/>
    <m/>
    <m/>
    <m/>
    <m/>
    <m/>
    <m/>
    <m/>
    <n v="0"/>
    <m/>
    <m/>
    <m/>
    <m/>
    <m/>
    <m/>
    <m/>
    <m/>
    <m/>
    <m/>
    <m/>
    <m/>
    <m/>
    <s v="no test"/>
    <s v="no test"/>
    <x v="0"/>
    <n v="1"/>
    <n v="6016"/>
    <n v="12.032"/>
    <n v="0"/>
    <n v="0"/>
    <n v="12"/>
    <n v="0"/>
    <n v="0.72905585106382975"/>
    <n v="4386"/>
    <n v="27.596330275229359"/>
    <n v="100"/>
    <n v="0"/>
    <n v="301"/>
    <n v="48"/>
    <n v="0.27094414893617025"/>
    <n v="0.13833992094861661"/>
    <n v="0"/>
    <n v="0"/>
    <n v="0"/>
    <n v="0"/>
    <n v="0"/>
    <n v="0"/>
    <n v="1"/>
    <n v="0"/>
    <n v="0"/>
    <s v="No"/>
    <n v="0"/>
    <n v="0"/>
    <n v="100"/>
    <n v="0"/>
    <s v="Yes"/>
    <n v="0"/>
    <s v="Camp"/>
    <x v="2"/>
    <s v="Muslim"/>
    <n v="20.1585"/>
    <n v="92.839416999999997"/>
    <s v="MMR012CMP046"/>
    <x v="0"/>
    <n v="365"/>
    <n v="800"/>
    <n v="1165"/>
    <m/>
    <m/>
    <m/>
    <m/>
    <n v="2062"/>
    <n v="12522"/>
  </r>
  <r>
    <x v="0"/>
    <x v="2"/>
    <x v="2"/>
    <s v="DFID/HARP"/>
    <x v="0"/>
    <x v="1"/>
    <x v="0"/>
    <x v="20"/>
    <n v="1013"/>
    <n v="5950"/>
    <n v="5.8736426456071076"/>
    <d v="2021-01-01T00:00:00"/>
    <d v="2022-01-31T00:00:00"/>
    <m/>
    <n v="59"/>
    <n v="68"/>
    <m/>
    <m/>
    <m/>
    <m/>
    <m/>
    <m/>
    <m/>
    <m/>
    <m/>
    <m/>
    <m/>
    <m/>
    <n v="242"/>
    <n v="339"/>
    <m/>
    <m/>
    <m/>
    <m/>
    <m/>
    <n v="4"/>
    <n v="38"/>
    <n v="21"/>
    <m/>
    <x v="0"/>
    <m/>
    <m/>
    <m/>
    <m/>
    <m/>
    <m/>
    <m/>
    <m/>
    <m/>
    <n v="3"/>
    <m/>
    <m/>
    <m/>
    <m/>
    <m/>
    <m/>
    <m/>
    <m/>
    <m/>
    <m/>
    <m/>
    <m/>
    <m/>
    <s v="no test"/>
    <s v="no test"/>
    <x v="0"/>
    <n v="1"/>
    <n v="5950"/>
    <n v="11.9"/>
    <n v="0"/>
    <n v="0"/>
    <n v="12"/>
    <n v="9.9999999999999645E-2"/>
    <n v="0.83327731092436974"/>
    <n v="4958"/>
    <n v="24.58677685950413"/>
    <n v="1050"/>
    <n v="0"/>
    <n v="298"/>
    <n v="0"/>
    <n v="0.16672268907563026"/>
    <n v="0.28613569321533922"/>
    <n v="0"/>
    <n v="0"/>
    <n v="0"/>
    <n v="0"/>
    <n v="0"/>
    <n v="0"/>
    <n v="1"/>
    <n v="0"/>
    <n v="0"/>
    <s v="No"/>
    <n v="0"/>
    <n v="0"/>
    <n v="1050"/>
    <n v="0"/>
    <s v="Yes"/>
    <n v="0"/>
    <s v="Camp"/>
    <x v="0"/>
    <s v="Muslim"/>
    <n v="20.179939999999998"/>
    <n v="92.831879000000001"/>
    <s v="MMR012CMP048"/>
    <x v="0"/>
    <n v="250"/>
    <n v="699"/>
    <n v="949"/>
    <m/>
    <m/>
    <m/>
    <m/>
    <n v="1019"/>
    <n v="6906"/>
  </r>
  <r>
    <x v="1"/>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1"/>
    <n v="0"/>
    <n v="0"/>
    <s v="No"/>
    <n v="0"/>
    <n v="0"/>
    <n v="200"/>
    <n v="50"/>
    <s v="Yes"/>
    <s v="RI"/>
    <s v="Camp"/>
    <x v="0"/>
    <s v="Muslim"/>
    <n v="20.037655000000001"/>
    <n v="93.370037999999994"/>
    <s v="MMR012CMP014"/>
    <x v="0"/>
    <n v="73"/>
    <n v="318"/>
    <n v="391"/>
    <m/>
    <m/>
    <m/>
    <m/>
    <n v="747"/>
    <n v="3495"/>
  </r>
  <r>
    <x v="1"/>
    <x v="0"/>
    <x v="0"/>
    <s v="ECHO, OFDA, CDC "/>
    <x v="0"/>
    <x v="0"/>
    <x v="0"/>
    <x v="0"/>
    <n v="1112"/>
    <n v="5133"/>
    <n v="4.6160071942446042"/>
    <s v="01 August 2022, 15 March 2022, 1 April 2022"/>
    <s v="31 July 2023, 14 Dec 2022, 31 March 2023"/>
    <m/>
    <m/>
    <m/>
    <n v="14"/>
    <n v="14"/>
    <n v="1612000"/>
    <n v="5133"/>
    <n v="1"/>
    <n v="1"/>
    <n v="8"/>
    <n v="0.38"/>
    <m/>
    <m/>
    <m/>
    <s v="No new HH was registered during 2022"/>
    <n v="195"/>
    <n v="198"/>
    <n v="2"/>
    <n v="198"/>
    <n v="0.99"/>
    <n v="1"/>
    <n v="0.98"/>
    <n v="27"/>
    <n v="76"/>
    <m/>
    <m/>
    <x v="0"/>
    <s v="The result of percentage indicators were from the KAP survey conducted in April 2022."/>
    <n v="997"/>
    <n v="1200"/>
    <n v="1521"/>
    <n v="1415"/>
    <n v="1112"/>
    <n v="1515"/>
    <n v="0.15"/>
    <n v="0.71"/>
    <n v="0"/>
    <m/>
    <n v="0.89"/>
    <n v="0.7"/>
    <n v="0.97"/>
    <n v="1"/>
    <n v="1.2699999999999999E-2"/>
    <m/>
    <m/>
    <m/>
    <m/>
    <m/>
    <m/>
    <m/>
    <s v="Tested"/>
    <s v="Tested"/>
    <x v="1"/>
    <n v="1"/>
    <n v="5133"/>
    <n v="10.266"/>
    <n v="0"/>
    <n v="0"/>
    <n v="10"/>
    <n v="0"/>
    <n v="0.87979738944087282"/>
    <n v="4516"/>
    <n v="26.323076923076922"/>
    <n v="0"/>
    <n v="0"/>
    <n v="257"/>
    <n v="59"/>
    <n v="0.12020261055912718"/>
    <n v="1.5151515151515152E-2"/>
    <n v="5133"/>
    <n v="5133"/>
    <n v="1515"/>
    <n v="5133"/>
    <n v="5133"/>
    <n v="1"/>
    <n v="0"/>
    <n v="1"/>
    <n v="1"/>
    <s v="No"/>
    <n v="0.97"/>
    <n v="0"/>
    <n v="0"/>
    <n v="0"/>
    <s v="Yes"/>
    <s v="LWF"/>
    <s v="Camp"/>
    <x v="0"/>
    <s v="Muslim"/>
    <n v="20.108101999999999"/>
    <n v="92.985095000000001"/>
    <s v="MMR012CMP016"/>
    <x v="0"/>
    <n v="279"/>
    <n v="636"/>
    <n v="915"/>
    <m/>
    <m/>
    <m/>
    <m/>
    <n v="1115"/>
    <n v="5197"/>
  </r>
  <r>
    <x v="1"/>
    <x v="0"/>
    <x v="0"/>
    <s v="ECHO, OFDA, CDC "/>
    <x v="0"/>
    <x v="0"/>
    <x v="0"/>
    <x v="10"/>
    <n v="1076"/>
    <n v="5024"/>
    <n v="4.6691449814126393"/>
    <s v="01 August 2022, 15 March 2022, 1 April 2022"/>
    <s v="31 July 2023, 14 Dec 2022, 31 March 2023"/>
    <m/>
    <m/>
    <m/>
    <n v="0"/>
    <n v="0"/>
    <n v="1768448"/>
    <n v="5024"/>
    <n v="2"/>
    <n v="0.5"/>
    <n v="5"/>
    <n v="1"/>
    <n v="17"/>
    <m/>
    <m/>
    <s v="Water Container (Gora -15 L, Plastic Container - 24L) were distributed to newly registered HH in Census data in 2022"/>
    <n v="152"/>
    <n v="158"/>
    <n v="6"/>
    <n v="158"/>
    <n v="0.99"/>
    <n v="1"/>
    <n v="0.99"/>
    <n v="26"/>
    <n v="127"/>
    <m/>
    <m/>
    <x v="0"/>
    <s v="The result of percentage indicators were from the KAP survey conducted in April 2022."/>
    <n v="974"/>
    <n v="1090"/>
    <n v="1516"/>
    <n v="1444"/>
    <n v="1076"/>
    <n v="1294"/>
    <n v="0.94"/>
    <n v="0.56999999999999995"/>
    <n v="1"/>
    <m/>
    <n v="1"/>
    <m/>
    <n v="1"/>
    <n v="1"/>
    <n v="1.0699999999999999E-2"/>
    <n v="4"/>
    <m/>
    <m/>
    <m/>
    <m/>
    <m/>
    <m/>
    <s v="Tested"/>
    <s v="Tested"/>
    <x v="1"/>
    <n v="1"/>
    <n v="5024"/>
    <n v="10.048"/>
    <n v="0"/>
    <n v="0"/>
    <n v="10"/>
    <n v="0"/>
    <n v="0.73387738853503182"/>
    <n v="3687"/>
    <n v="33.05263157894737"/>
    <n v="0"/>
    <n v="0"/>
    <n v="251"/>
    <n v="93"/>
    <n v="0.26612261146496818"/>
    <n v="3.7974683544303799E-2"/>
    <n v="5024"/>
    <n v="5024"/>
    <n v="1294"/>
    <n v="5024"/>
    <n v="5024"/>
    <n v="1"/>
    <n v="0"/>
    <n v="1"/>
    <n v="1"/>
    <s v="No"/>
    <n v="1"/>
    <n v="4"/>
    <n v="0"/>
    <n v="0"/>
    <s v="Yes"/>
    <s v="LWF"/>
    <s v="Camp"/>
    <x v="1"/>
    <s v="Muslim"/>
    <n v="20.073437999999999"/>
    <n v="93.154551999999995"/>
    <s v="MMR012CMP017"/>
    <x v="0"/>
    <n v="159"/>
    <n v="923"/>
    <n v="1082"/>
    <m/>
    <m/>
    <m/>
    <m/>
    <n v="1059"/>
    <n v="5004"/>
  </r>
  <r>
    <x v="1"/>
    <x v="0"/>
    <x v="0"/>
    <s v="ECHO, OFDA, CDC "/>
    <x v="0"/>
    <x v="0"/>
    <x v="0"/>
    <x v="11"/>
    <n v="1064"/>
    <n v="5137"/>
    <n v="4.8280075187969924"/>
    <s v="01 August 2022, 15 March 2022, 1 April 2022"/>
    <s v="31 July 2023, 14 Dec 2022, 31 March 2023"/>
    <m/>
    <m/>
    <m/>
    <n v="0"/>
    <n v="0"/>
    <n v="1797950"/>
    <n v="5137"/>
    <m/>
    <m/>
    <m/>
    <m/>
    <n v="82"/>
    <m/>
    <m/>
    <s v="Water Container (Gora -15 L, Plastic Container - 24L) were distributed to newly registered HH in Census data in 2022"/>
    <n v="161"/>
    <n v="197"/>
    <m/>
    <n v="197"/>
    <n v="0.99"/>
    <n v="0.99"/>
    <n v="0.99"/>
    <n v="36"/>
    <n v="91"/>
    <m/>
    <m/>
    <x v="0"/>
    <s v="The result of percentage indicators were from the KAP survey conducted in April 2022."/>
    <n v="1051"/>
    <n v="1120"/>
    <n v="1582"/>
    <n v="1384"/>
    <n v="1064"/>
    <n v="1366"/>
    <n v="0.45"/>
    <n v="0.37"/>
    <n v="0"/>
    <m/>
    <n v="0.92"/>
    <m/>
    <n v="0.99"/>
    <n v="1"/>
    <m/>
    <n v="8"/>
    <m/>
    <m/>
    <m/>
    <m/>
    <m/>
    <m/>
    <s v="no test"/>
    <s v="no test"/>
    <x v="0"/>
    <n v="1"/>
    <n v="5137"/>
    <n v="10.273999999999999"/>
    <n v="0"/>
    <n v="0"/>
    <n v="10"/>
    <n v="0"/>
    <n v="0.78469924080202458"/>
    <n v="4031"/>
    <n v="31.906832298136646"/>
    <n v="0"/>
    <n v="0"/>
    <n v="257"/>
    <n v="60"/>
    <n v="0.21530075919797542"/>
    <n v="0.18274111675126903"/>
    <n v="5137"/>
    <n v="5137"/>
    <n v="1366"/>
    <n v="5137"/>
    <n v="5137"/>
    <n v="1"/>
    <n v="0"/>
    <n v="1"/>
    <n v="1"/>
    <s v="No"/>
    <n v="0.99"/>
    <n v="8"/>
    <n v="0"/>
    <n v="0"/>
    <s v="Yes"/>
    <s v="LWF"/>
    <s v="Camp"/>
    <x v="0"/>
    <s v="Muslim"/>
    <n v="20.073437999999999"/>
    <n v="93.154551999999995"/>
    <s v="MMR012CMP017"/>
    <x v="0"/>
    <n v="116"/>
    <n v="693"/>
    <n v="809"/>
    <m/>
    <m/>
    <m/>
    <m/>
    <n v="982"/>
    <n v="4828"/>
  </r>
  <r>
    <x v="1"/>
    <x v="0"/>
    <x v="0"/>
    <s v="UNICEF, OFDA"/>
    <x v="0"/>
    <x v="0"/>
    <x v="0"/>
    <x v="8"/>
    <n v="1389"/>
    <n v="6680"/>
    <n v="4.8092152627789773"/>
    <s v="01 August 2022, 15 March 2022, 1 April 2022"/>
    <s v="31 July 2023, 14 Dec 2022, 31 March 2023"/>
    <m/>
    <m/>
    <m/>
    <n v="36"/>
    <n v="36"/>
    <n v="3766000"/>
    <n v="6680"/>
    <n v="4"/>
    <n v="0.75"/>
    <n v="6"/>
    <n v="0.5"/>
    <n v="78"/>
    <m/>
    <m/>
    <s v="Water Container (Gora -15 L, Plastic Container - 24L) were distributed to newly registered HH in Census data in 2022"/>
    <n v="230"/>
    <n v="238"/>
    <n v="8"/>
    <n v="138"/>
    <n v="0.99"/>
    <n v="0.99"/>
    <n v="0.99"/>
    <n v="18"/>
    <n v="114"/>
    <m/>
    <m/>
    <x v="0"/>
    <s v="The result of percentage indicators were from the KAP survey conducted in April 2022."/>
    <n v="1376"/>
    <n v="1499"/>
    <n v="1955"/>
    <n v="1850"/>
    <n v="1389"/>
    <n v="1763"/>
    <n v="0.24"/>
    <n v="0.38"/>
    <n v="0"/>
    <m/>
    <n v="1"/>
    <n v="0.49"/>
    <n v="0.95"/>
    <n v="1"/>
    <n v="5.1000000000000004E-3"/>
    <m/>
    <m/>
    <m/>
    <m/>
    <m/>
    <m/>
    <m/>
    <s v="Tested"/>
    <s v="Tested"/>
    <x v="1"/>
    <n v="1"/>
    <n v="6680"/>
    <n v="13.36"/>
    <n v="0"/>
    <n v="0"/>
    <n v="13"/>
    <n v="0"/>
    <n v="0.75958083832335332"/>
    <n v="5074"/>
    <n v="29.043478260869566"/>
    <n v="0"/>
    <n v="0"/>
    <n v="334"/>
    <n v="96"/>
    <n v="0.24041916167664668"/>
    <n v="3.3613445378151259E-2"/>
    <n v="6680"/>
    <n v="6680"/>
    <n v="1763"/>
    <n v="6680"/>
    <n v="6680"/>
    <n v="1"/>
    <n v="0"/>
    <n v="1"/>
    <n v="1"/>
    <s v="No"/>
    <n v="0.95"/>
    <n v="0"/>
    <n v="0"/>
    <n v="0"/>
    <s v="Yes"/>
    <s v="DRC"/>
    <s v="Camp"/>
    <x v="0"/>
    <s v="Muslim"/>
    <n v="20.090183"/>
    <n v="93.010368999999997"/>
    <s v="MMR012CMP018"/>
    <x v="0"/>
    <n v="95"/>
    <n v="1102"/>
    <n v="1197"/>
    <m/>
    <m/>
    <m/>
    <m/>
    <n v="1387"/>
    <n v="6674"/>
  </r>
  <r>
    <x v="1"/>
    <x v="4"/>
    <x v="4"/>
    <s v="BHA-USAID"/>
    <x v="0"/>
    <x v="0"/>
    <x v="0"/>
    <x v="17"/>
    <n v="811"/>
    <n v="2861"/>
    <n v="3.5277435265104811"/>
    <d v="2022-06-01T00:00:00"/>
    <d v="2023-05-31T00:00:00"/>
    <m/>
    <m/>
    <m/>
    <n v="16"/>
    <n v="16"/>
    <m/>
    <n v="2861"/>
    <m/>
    <m/>
    <m/>
    <m/>
    <m/>
    <m/>
    <m/>
    <s v="water testing in STM- IDP, we distributed chlorination water and tested FRC result is 100&amp; good."/>
    <n v="352"/>
    <n v="363"/>
    <n v="7"/>
    <n v="40"/>
    <m/>
    <m/>
    <m/>
    <n v="1"/>
    <m/>
    <m/>
    <m/>
    <x v="0"/>
    <m/>
    <n v="1353"/>
    <n v="1810"/>
    <n v="719"/>
    <n v="811"/>
    <n v="811"/>
    <n v="565"/>
    <n v="1"/>
    <m/>
    <m/>
    <m/>
    <m/>
    <m/>
    <m/>
    <m/>
    <m/>
    <m/>
    <m/>
    <m/>
    <m/>
    <m/>
    <m/>
    <m/>
    <s v="no test"/>
    <s v="no test"/>
    <x v="0"/>
    <n v="1"/>
    <n v="2861"/>
    <n v="5.7220000000000004"/>
    <n v="0"/>
    <n v="0"/>
    <n v="6"/>
    <n v="0.27799999999999958"/>
    <n v="1"/>
    <n v="2861"/>
    <n v="8.1278409090909083"/>
    <n v="0"/>
    <n v="0"/>
    <n v="143"/>
    <n v="0"/>
    <n v="0"/>
    <n v="3.0303030303030304E-2"/>
    <n v="4693"/>
    <n v="2861"/>
    <n v="565"/>
    <n v="2861"/>
    <n v="4693"/>
    <n v="1"/>
    <n v="0"/>
    <n v="1.6403355470115344"/>
    <n v="1"/>
    <s v="No"/>
    <n v="0"/>
    <n v="0"/>
    <n v="0"/>
    <n v="0"/>
    <s v="Yes"/>
    <s v="DRC"/>
    <s v="Camp"/>
    <x v="0"/>
    <s v="Muslim"/>
    <n v="20.064226000000001"/>
    <n v="92.993758999999997"/>
    <s v="MMR012CMP019"/>
    <x v="0"/>
    <n v="159"/>
    <n v="361"/>
    <n v="520"/>
    <m/>
    <m/>
    <m/>
    <m/>
    <n v="682"/>
    <n v="2588"/>
  </r>
  <r>
    <x v="1"/>
    <x v="3"/>
    <x v="3"/>
    <s v="UNICEF"/>
    <x v="0"/>
    <x v="2"/>
    <x v="0"/>
    <x v="7"/>
    <n v="384"/>
    <n v="1084"/>
    <n v="2.8229166666666665"/>
    <d v="2021-07-01T00:00:00"/>
    <d v="2022-06-30T00:00:00"/>
    <m/>
    <m/>
    <m/>
    <n v="14"/>
    <n v="19"/>
    <m/>
    <n v="1084"/>
    <n v="46"/>
    <n v="1"/>
    <n v="114"/>
    <n v="0.96"/>
    <m/>
    <n v="196"/>
    <m/>
    <m/>
    <n v="94"/>
    <n v="94"/>
    <n v="15"/>
    <n v="94"/>
    <n v="1"/>
    <n v="1"/>
    <n v="1"/>
    <m/>
    <m/>
    <n v="8"/>
    <m/>
    <x v="0"/>
    <m/>
    <n v="126"/>
    <n v="195"/>
    <n v="37"/>
    <n v="43"/>
    <n v="384"/>
    <n v="510"/>
    <n v="0.02"/>
    <n v="0.98"/>
    <n v="8"/>
    <m/>
    <n v="0.98"/>
    <n v="0.98"/>
    <m/>
    <n v="0"/>
    <m/>
    <m/>
    <n v="3"/>
    <m/>
    <m/>
    <m/>
    <m/>
    <m/>
    <s v="Tested"/>
    <s v="Tested"/>
    <x v="1"/>
    <n v="1"/>
    <n v="1084"/>
    <n v="2.1680000000000001"/>
    <n v="0"/>
    <n v="0"/>
    <n v="2"/>
    <n v="0"/>
    <n v="1"/>
    <n v="1084"/>
    <n v="11.531914893617021"/>
    <n v="400"/>
    <n v="0"/>
    <n v="54"/>
    <n v="0"/>
    <n v="0"/>
    <n v="0"/>
    <n v="401"/>
    <n v="1084"/>
    <n v="510"/>
    <n v="1084"/>
    <n v="1084"/>
    <n v="1"/>
    <n v="0"/>
    <n v="0.36992619926199261"/>
    <n v="1"/>
    <s v="No"/>
    <n v="0"/>
    <n v="3"/>
    <n v="400"/>
    <n v="0"/>
    <s v="Yes"/>
    <s v="UNHCR"/>
    <s v="Camp"/>
    <x v="0"/>
    <s v="Muslim"/>
    <n v="19.424576999999999"/>
    <n v="93.512326000000002"/>
    <s v="MMR012CMP035"/>
    <x v="0"/>
    <n v="0"/>
    <n v="0"/>
    <n v="0"/>
    <m/>
    <m/>
    <m/>
    <m/>
    <n v="334"/>
    <n v="1001"/>
  </r>
  <r>
    <x v="1"/>
    <x v="1"/>
    <x v="1"/>
    <s v="FCDO"/>
    <x v="0"/>
    <x v="1"/>
    <x v="0"/>
    <x v="1"/>
    <n v="380"/>
    <n v="2489"/>
    <n v="6.55"/>
    <d v="2022-04-01T00:00:00"/>
    <d v="2022-09-30T00:00:00"/>
    <m/>
    <n v="23"/>
    <n v="23"/>
    <m/>
    <m/>
    <m/>
    <m/>
    <n v="21"/>
    <n v="0.56999999999999995"/>
    <n v="76"/>
    <n v="0.14000000000000001"/>
    <m/>
    <m/>
    <m/>
    <m/>
    <n v="115"/>
    <n v="120"/>
    <n v="15"/>
    <n v="58"/>
    <n v="1"/>
    <n v="0.91"/>
    <n v="0.55000000000000004"/>
    <m/>
    <m/>
    <m/>
    <m/>
    <x v="0"/>
    <m/>
    <n v="13"/>
    <n v="127"/>
    <n v="127"/>
    <n v="119"/>
    <n v="380"/>
    <n v="760"/>
    <n v="1"/>
    <n v="1"/>
    <m/>
    <m/>
    <n v="1"/>
    <n v="1"/>
    <n v="1"/>
    <n v="0.88"/>
    <m/>
    <n v="120"/>
    <m/>
    <m/>
    <m/>
    <m/>
    <m/>
    <m/>
    <s v="Tested"/>
    <s v="Tested"/>
    <x v="1"/>
    <n v="1"/>
    <n v="2489"/>
    <n v="4.9779999999999998"/>
    <n v="0"/>
    <n v="0"/>
    <n v="5"/>
    <n v="2.2000000000000242E-2"/>
    <n v="0.92406588991562877"/>
    <n v="2300"/>
    <n v="21.643478260869564"/>
    <n v="0"/>
    <n v="0"/>
    <n v="124"/>
    <n v="4"/>
    <n v="7.5934110084371231E-2"/>
    <n v="4.1666666666666664E-2"/>
    <n v="386"/>
    <n v="2489"/>
    <n v="760"/>
    <n v="2489"/>
    <n v="2489"/>
    <n v="1"/>
    <n v="0"/>
    <n v="0.15508236239453596"/>
    <n v="1"/>
    <s v="No"/>
    <n v="1"/>
    <n v="120"/>
    <n v="0"/>
    <n v="0"/>
    <s v="Yes"/>
    <n v="0"/>
    <s v="Camp"/>
    <x v="0"/>
    <s v="Muslim"/>
    <n v="20.128488999999998"/>
    <n v="92.875814000000005"/>
    <s v="MMR012CMP039"/>
    <x v="0"/>
    <n v="100"/>
    <n v="301"/>
    <n v="401"/>
    <m/>
    <m/>
    <m/>
    <m/>
    <n v="380"/>
    <n v="2435"/>
  </r>
  <r>
    <x v="1"/>
    <x v="1"/>
    <x v="1"/>
    <s v="FCDO"/>
    <x v="0"/>
    <x v="1"/>
    <x v="0"/>
    <x v="4"/>
    <n v="1753"/>
    <n v="11715"/>
    <n v="6.6828294352538506"/>
    <d v="2022-04-01T00:00:00"/>
    <d v="2022-09-30T00:00:00"/>
    <m/>
    <n v="80"/>
    <n v="86"/>
    <m/>
    <m/>
    <m/>
    <m/>
    <n v="68"/>
    <n v="0.34"/>
    <n v="90"/>
    <n v="0.13"/>
    <m/>
    <m/>
    <m/>
    <m/>
    <n v="446"/>
    <n v="554"/>
    <n v="237"/>
    <n v="241"/>
    <n v="1"/>
    <n v="0.94"/>
    <n v="0.77"/>
    <m/>
    <m/>
    <m/>
    <m/>
    <x v="0"/>
    <m/>
    <n v="12"/>
    <n v="212"/>
    <n v="183"/>
    <n v="96"/>
    <n v="1850"/>
    <n v="3700"/>
    <n v="0.96"/>
    <n v="1"/>
    <m/>
    <m/>
    <n v="1"/>
    <n v="1"/>
    <n v="1"/>
    <n v="0.79"/>
    <m/>
    <n v="554"/>
    <m/>
    <m/>
    <m/>
    <m/>
    <m/>
    <m/>
    <s v="Tested"/>
    <s v="Tested"/>
    <x v="1"/>
    <n v="1"/>
    <n v="11715"/>
    <n v="23.43"/>
    <n v="0"/>
    <n v="0"/>
    <n v="23"/>
    <n v="0"/>
    <n v="0.76141698676909941"/>
    <n v="8920"/>
    <n v="26.266816143497756"/>
    <n v="0"/>
    <n v="0"/>
    <n v="586"/>
    <n v="32"/>
    <n v="0.23858301323090059"/>
    <n v="0.19494584837545126"/>
    <n v="503"/>
    <n v="11715"/>
    <n v="3700"/>
    <n v="11715"/>
    <n v="11715"/>
    <n v="1"/>
    <n v="0"/>
    <n v="4.2936406316688006E-2"/>
    <n v="1"/>
    <s v="No"/>
    <n v="1"/>
    <n v="554"/>
    <n v="0"/>
    <n v="0"/>
    <s v="Yes"/>
    <n v="0"/>
    <s v="Camp"/>
    <x v="0"/>
    <s v="Muslim"/>
    <n v="20.16846"/>
    <n v="92.827427"/>
    <s v="MMR012CMP041"/>
    <x v="0"/>
    <n v="104"/>
    <n v="810"/>
    <n v="914"/>
    <m/>
    <m/>
    <m/>
    <m/>
    <n v="1713"/>
    <n v="11460"/>
  </r>
  <r>
    <x v="1"/>
    <x v="2"/>
    <x v="2"/>
    <s v="FCDO"/>
    <x v="0"/>
    <x v="1"/>
    <x v="0"/>
    <x v="5"/>
    <n v="400"/>
    <n v="2248"/>
    <n v="5.62"/>
    <d v="2022-04-01T00:00:00"/>
    <d v="2022-09-30T00:00:00"/>
    <m/>
    <n v="43"/>
    <n v="53"/>
    <m/>
    <m/>
    <m/>
    <m/>
    <n v="10"/>
    <n v="0.4"/>
    <m/>
    <m/>
    <m/>
    <m/>
    <m/>
    <m/>
    <n v="86"/>
    <n v="116"/>
    <n v="56"/>
    <n v="57"/>
    <n v="1"/>
    <n v="0.64"/>
    <n v="0.73"/>
    <n v="12"/>
    <n v="29"/>
    <n v="4"/>
    <m/>
    <x v="0"/>
    <m/>
    <n v="501"/>
    <n v="661"/>
    <m/>
    <m/>
    <n v="392"/>
    <n v="784"/>
    <n v="1"/>
    <n v="1"/>
    <n v="5"/>
    <m/>
    <n v="1"/>
    <n v="1"/>
    <n v="1"/>
    <n v="1"/>
    <m/>
    <m/>
    <m/>
    <m/>
    <m/>
    <m/>
    <m/>
    <m/>
    <s v="Tested"/>
    <s v="no test"/>
    <x v="1"/>
    <n v="1"/>
    <n v="2248"/>
    <n v="4.4960000000000004"/>
    <n v="0"/>
    <n v="0"/>
    <n v="4"/>
    <n v="0"/>
    <n v="0.88478647686832745"/>
    <n v="1989"/>
    <n v="26.13953488372093"/>
    <n v="200"/>
    <n v="0"/>
    <n v="112"/>
    <n v="0"/>
    <n v="0.11521352313167255"/>
    <n v="0.25862068965517243"/>
    <n v="1162"/>
    <n v="2203.04"/>
    <n v="784"/>
    <n v="2203.04"/>
    <n v="2203.04"/>
    <n v="0.98"/>
    <n v="2.0000000000000018E-2"/>
    <n v="0.51690391459074736"/>
    <n v="0.98"/>
    <s v="No"/>
    <n v="1"/>
    <n v="0"/>
    <n v="200"/>
    <n v="0"/>
    <s v="Yes"/>
    <n v="0"/>
    <s v="Camp"/>
    <x v="0"/>
    <s v="Muslim"/>
    <n v="20.181778000000001"/>
    <n v="92.823166999999998"/>
    <s v="MMR012CMP042"/>
    <x v="0"/>
    <n v="47"/>
    <n v="306"/>
    <n v="353"/>
    <m/>
    <m/>
    <m/>
    <m/>
    <n v="392"/>
    <n v="2455"/>
  </r>
  <r>
    <x v="1"/>
    <x v="1"/>
    <x v="1"/>
    <s v="FCDO"/>
    <x v="0"/>
    <x v="1"/>
    <x v="0"/>
    <x v="6"/>
    <n v="400"/>
    <n v="2262"/>
    <n v="5.6550000000000002"/>
    <d v="2022-04-01T00:00:00"/>
    <d v="2022-09-30T00:00:00"/>
    <m/>
    <n v="22"/>
    <n v="25"/>
    <m/>
    <m/>
    <m/>
    <m/>
    <n v="4"/>
    <n v="0.5"/>
    <m/>
    <m/>
    <m/>
    <m/>
    <m/>
    <m/>
    <n v="91"/>
    <n v="104"/>
    <n v="56"/>
    <n v="46"/>
    <n v="1"/>
    <n v="1"/>
    <n v="0.36"/>
    <m/>
    <m/>
    <m/>
    <m/>
    <x v="0"/>
    <m/>
    <n v="11"/>
    <n v="105"/>
    <n v="30"/>
    <n v="44"/>
    <n v="400"/>
    <n v="800"/>
    <n v="0.88"/>
    <n v="1"/>
    <m/>
    <m/>
    <n v="0.91"/>
    <n v="1"/>
    <n v="0.91"/>
    <n v="0.86"/>
    <m/>
    <n v="104"/>
    <m/>
    <m/>
    <m/>
    <m/>
    <m/>
    <m/>
    <s v="Tested"/>
    <s v="no test"/>
    <x v="1"/>
    <n v="1"/>
    <n v="2262"/>
    <n v="4.524"/>
    <n v="0"/>
    <n v="0"/>
    <n v="5"/>
    <n v="0.47599999999999998"/>
    <n v="0.8045977011494253"/>
    <n v="1820"/>
    <n v="24.857142857142858"/>
    <n v="0"/>
    <n v="0"/>
    <n v="113"/>
    <n v="9"/>
    <n v="0.1954022988505747"/>
    <n v="0.125"/>
    <n v="190"/>
    <n v="2262"/>
    <n v="800"/>
    <n v="2262"/>
    <n v="2262"/>
    <n v="1"/>
    <n v="0"/>
    <n v="8.3996463306808128E-2"/>
    <n v="1"/>
    <s v="No"/>
    <n v="0.91"/>
    <n v="104"/>
    <n v="0"/>
    <n v="0"/>
    <n v="0"/>
    <n v="0"/>
    <s v="Camp"/>
    <x v="0"/>
    <s v="Muslim"/>
    <n v="20.180194"/>
    <n v="92.816638999999995"/>
    <s v="MMR012CMP042"/>
    <x v="0"/>
    <n v="70"/>
    <n v="241"/>
    <n v="311"/>
    <m/>
    <m/>
    <m/>
    <m/>
    <n v="400"/>
    <n v="2228"/>
  </r>
  <r>
    <x v="1"/>
    <x v="4"/>
    <x v="4"/>
    <s v="OFDA"/>
    <x v="0"/>
    <x v="1"/>
    <x v="0"/>
    <x v="15"/>
    <n v="400"/>
    <n v="2698"/>
    <n v="6.7450000000000001"/>
    <d v="2022-06-01T00:00:00"/>
    <d v="2023-05-31T00:00:00"/>
    <m/>
    <n v="41"/>
    <n v="42"/>
    <m/>
    <m/>
    <m/>
    <m/>
    <m/>
    <m/>
    <n v="60"/>
    <n v="0.65"/>
    <m/>
    <m/>
    <m/>
    <m/>
    <n v="149"/>
    <n v="149"/>
    <n v="26"/>
    <n v="85"/>
    <m/>
    <m/>
    <m/>
    <n v="3"/>
    <n v="9"/>
    <m/>
    <m/>
    <x v="0"/>
    <m/>
    <n v="575"/>
    <n v="697"/>
    <n v="426"/>
    <n v="284"/>
    <n v="400"/>
    <n v="667"/>
    <m/>
    <m/>
    <m/>
    <m/>
    <m/>
    <m/>
    <m/>
    <m/>
    <m/>
    <m/>
    <m/>
    <m/>
    <m/>
    <m/>
    <m/>
    <m/>
    <s v="no test"/>
    <s v="Tested"/>
    <x v="1"/>
    <n v="1"/>
    <n v="2698"/>
    <n v="5.3959999999999999"/>
    <n v="0"/>
    <n v="0"/>
    <n v="5"/>
    <n v="0"/>
    <n v="1"/>
    <n v="2698"/>
    <n v="18.107382550335572"/>
    <n v="0"/>
    <n v="0"/>
    <n v="135"/>
    <n v="0"/>
    <n v="0"/>
    <n v="0"/>
    <n v="1982"/>
    <n v="2698"/>
    <n v="667"/>
    <n v="2698"/>
    <n v="2698"/>
    <n v="1"/>
    <n v="0"/>
    <n v="0.73461823573017049"/>
    <n v="1"/>
    <s v="No"/>
    <n v="0"/>
    <n v="0"/>
    <n v="0"/>
    <n v="0"/>
    <n v="0"/>
    <n v="0"/>
    <s v="Camp"/>
    <x v="0"/>
    <s v="Muslim"/>
    <n v="20.207284999999999"/>
    <n v="92.788177000000005"/>
    <s v="MMR012CMP045"/>
    <x v="0"/>
    <n v="0"/>
    <n v="0"/>
    <n v="0"/>
    <m/>
    <m/>
    <m/>
    <m/>
    <n v="0"/>
    <n v="0"/>
  </r>
  <r>
    <x v="1"/>
    <x v="2"/>
    <x v="2"/>
    <s v="FCDO"/>
    <x v="0"/>
    <x v="1"/>
    <x v="0"/>
    <x v="16"/>
    <n v="2280"/>
    <n v="11564"/>
    <n v="5.0719298245614031"/>
    <d v="2022-04-01T00:00:00"/>
    <d v="2022-09-30T00:00:00"/>
    <m/>
    <n v="183"/>
    <n v="190"/>
    <m/>
    <m/>
    <m/>
    <m/>
    <n v="236"/>
    <n v="0.6"/>
    <n v="74"/>
    <n v="0.34"/>
    <m/>
    <m/>
    <m/>
    <m/>
    <n v="479"/>
    <n v="520"/>
    <n v="135"/>
    <n v="265"/>
    <n v="1"/>
    <n v="1"/>
    <n v="0.6"/>
    <n v="12"/>
    <n v="51"/>
    <n v="40"/>
    <m/>
    <x v="0"/>
    <m/>
    <n v="2755"/>
    <n v="2782"/>
    <m/>
    <m/>
    <n v="2280"/>
    <n v="4560"/>
    <n v="1"/>
    <n v="0.5"/>
    <n v="32"/>
    <m/>
    <n v="1"/>
    <n v="1"/>
    <n v="1"/>
    <n v="1"/>
    <m/>
    <m/>
    <m/>
    <m/>
    <m/>
    <m/>
    <m/>
    <m/>
    <s v="Tested"/>
    <s v="Tested"/>
    <x v="1"/>
    <n v="1"/>
    <n v="11564"/>
    <n v="23.128"/>
    <n v="0"/>
    <n v="0"/>
    <n v="23"/>
    <n v="0"/>
    <n v="0.85359737115185053"/>
    <n v="9871"/>
    <n v="24.141962421711899"/>
    <n v="2000"/>
    <n v="0"/>
    <n v="578"/>
    <n v="58"/>
    <n v="0.14640262884814947"/>
    <n v="7.8846153846153844E-2"/>
    <n v="5537"/>
    <n v="11564"/>
    <n v="4560"/>
    <n v="11564"/>
    <n v="11564"/>
    <n v="1"/>
    <n v="0"/>
    <n v="0.4788135593220339"/>
    <n v="1"/>
    <s v="No"/>
    <n v="1"/>
    <n v="0"/>
    <n v="2000"/>
    <n v="0"/>
    <s v="Yes"/>
    <n v="0"/>
    <s v="Camp"/>
    <x v="0"/>
    <s v="Muslim"/>
    <n v="20.202525000000001"/>
    <n v="92.792479999999998"/>
    <s v="MMR012CMP045"/>
    <x v="0"/>
    <n v="114"/>
    <n v="1144"/>
    <n v="1258"/>
    <m/>
    <m/>
    <m/>
    <m/>
    <n v="2678"/>
    <n v="14788"/>
  </r>
  <r>
    <x v="1"/>
    <x v="1"/>
    <x v="1"/>
    <s v="FCDO"/>
    <x v="0"/>
    <x v="1"/>
    <x v="0"/>
    <x v="19"/>
    <n v="1139"/>
    <n v="6016"/>
    <n v="5.2818261633011412"/>
    <d v="2022-04-01T00:00:00"/>
    <d v="2022-09-30T00:00:00"/>
    <m/>
    <n v="38"/>
    <n v="40"/>
    <m/>
    <m/>
    <m/>
    <m/>
    <m/>
    <m/>
    <m/>
    <m/>
    <m/>
    <m/>
    <m/>
    <m/>
    <n v="222"/>
    <n v="253"/>
    <n v="158"/>
    <n v="101"/>
    <n v="1"/>
    <n v="0.97"/>
    <n v="0.77"/>
    <m/>
    <m/>
    <m/>
    <m/>
    <x v="0"/>
    <s v="percentage indicator result is from the last Satisfaction Survey report conducted in Jan 2022. "/>
    <n v="18"/>
    <n v="140"/>
    <n v="29"/>
    <n v="20"/>
    <n v="1139"/>
    <n v="2278"/>
    <n v="0.94"/>
    <n v="1"/>
    <m/>
    <s v="percentage indicator result is from the last Satisfaction Survey report conducted in Jan 2022. "/>
    <n v="1"/>
    <n v="1"/>
    <n v="1"/>
    <n v="0.9"/>
    <m/>
    <n v="253"/>
    <m/>
    <m/>
    <m/>
    <m/>
    <m/>
    <m/>
    <s v="no test"/>
    <s v="no test"/>
    <x v="0"/>
    <n v="1"/>
    <n v="6016"/>
    <n v="12.032"/>
    <n v="0"/>
    <n v="0"/>
    <n v="12"/>
    <n v="0"/>
    <n v="0.73803191489361697"/>
    <n v="4440"/>
    <n v="27.099099099099099"/>
    <n v="0"/>
    <n v="0"/>
    <n v="301"/>
    <n v="48"/>
    <n v="0.26196808510638303"/>
    <n v="0.1225296442687747"/>
    <n v="207"/>
    <n v="6016"/>
    <n v="2278"/>
    <n v="6016"/>
    <n v="6016"/>
    <n v="1"/>
    <n v="0"/>
    <n v="3.4408244680851061E-2"/>
    <n v="1"/>
    <s v="No"/>
    <n v="1"/>
    <n v="253"/>
    <n v="0"/>
    <n v="0"/>
    <s v="Yes"/>
    <n v="0"/>
    <s v="Camp"/>
    <x v="2"/>
    <s v="Muslim"/>
    <n v="20.1585"/>
    <n v="92.839416999999997"/>
    <s v="MMR012CMP046"/>
    <x v="0"/>
    <n v="365"/>
    <n v="800"/>
    <n v="1165"/>
    <m/>
    <m/>
    <m/>
    <m/>
    <n v="2062"/>
    <n v="12522"/>
  </r>
  <r>
    <x v="1"/>
    <x v="2"/>
    <x v="2"/>
    <s v="FCDO"/>
    <x v="0"/>
    <x v="1"/>
    <x v="0"/>
    <x v="20"/>
    <n v="1013"/>
    <n v="5950"/>
    <n v="5.8736426456071076"/>
    <d v="2022-04-01T00:00:00"/>
    <d v="2022-09-30T00:00:00"/>
    <m/>
    <n v="67"/>
    <n v="69"/>
    <m/>
    <m/>
    <m/>
    <m/>
    <n v="8"/>
    <n v="1"/>
    <m/>
    <m/>
    <m/>
    <m/>
    <m/>
    <m/>
    <n v="273"/>
    <n v="335"/>
    <n v="136"/>
    <n v="131"/>
    <n v="1"/>
    <n v="0.55000000000000004"/>
    <n v="0.62"/>
    <n v="4"/>
    <n v="38"/>
    <n v="21"/>
    <m/>
    <x v="0"/>
    <m/>
    <n v="737"/>
    <n v="1054"/>
    <m/>
    <m/>
    <n v="1312"/>
    <n v="2624"/>
    <n v="0.53"/>
    <n v="1"/>
    <n v="3"/>
    <m/>
    <n v="0.86"/>
    <n v="0.9"/>
    <n v="1"/>
    <n v="1"/>
    <m/>
    <m/>
    <m/>
    <m/>
    <m/>
    <m/>
    <m/>
    <m/>
    <s v="Tested"/>
    <s v="no test"/>
    <x v="1"/>
    <n v="1"/>
    <n v="5950"/>
    <n v="11.9"/>
    <n v="0"/>
    <n v="0"/>
    <n v="12"/>
    <n v="9.9999999999999645E-2"/>
    <n v="0.93747899159663861"/>
    <n v="5578"/>
    <n v="21.794871794871796"/>
    <n v="1050"/>
    <n v="0"/>
    <n v="298"/>
    <n v="0"/>
    <n v="6.2521008403361389E-2"/>
    <n v="0.18507462686567164"/>
    <n v="1791"/>
    <n v="5950"/>
    <n v="2624"/>
    <n v="5950"/>
    <n v="5950"/>
    <n v="1"/>
    <n v="0"/>
    <n v="0.30100840336134455"/>
    <n v="1"/>
    <s v="No"/>
    <n v="1"/>
    <n v="0"/>
    <n v="1050"/>
    <n v="0"/>
    <s v="Yes"/>
    <n v="0"/>
    <s v="Camp"/>
    <x v="0"/>
    <s v="Muslim"/>
    <n v="20.179939999999998"/>
    <n v="92.831879000000001"/>
    <s v="MMR012CMP048"/>
    <x v="0"/>
    <n v="250"/>
    <n v="699"/>
    <n v="949"/>
    <m/>
    <m/>
    <m/>
    <m/>
    <n v="1019"/>
    <n v="6906"/>
  </r>
  <r>
    <x v="1"/>
    <x v="2"/>
    <x v="2"/>
    <s v="FCDO"/>
    <x v="0"/>
    <x v="1"/>
    <x v="0"/>
    <x v="9"/>
    <n v="656"/>
    <n v="3486"/>
    <n v="5.3140243902439028"/>
    <d v="2022-04-01T00:00:00"/>
    <d v="2022-09-30T00:00:00"/>
    <m/>
    <n v="35"/>
    <n v="39"/>
    <m/>
    <m/>
    <m/>
    <m/>
    <n v="8"/>
    <n v="0.13"/>
    <m/>
    <m/>
    <m/>
    <m/>
    <m/>
    <m/>
    <n v="142"/>
    <n v="228"/>
    <n v="105"/>
    <n v="96"/>
    <n v="1"/>
    <n v="0.88"/>
    <n v="0.53"/>
    <n v="2"/>
    <n v="42"/>
    <n v="8"/>
    <m/>
    <x v="0"/>
    <m/>
    <n v="667"/>
    <n v="1100"/>
    <m/>
    <m/>
    <n v="656"/>
    <n v="1312"/>
    <n v="1"/>
    <n v="1"/>
    <n v="3"/>
    <m/>
    <n v="1"/>
    <n v="1"/>
    <n v="1"/>
    <n v="0.67"/>
    <m/>
    <m/>
    <m/>
    <m/>
    <m/>
    <m/>
    <m/>
    <m/>
    <s v="Tested"/>
    <s v="no test"/>
    <x v="1"/>
    <n v="1"/>
    <n v="3486"/>
    <n v="6.9720000000000004"/>
    <n v="0"/>
    <n v="0"/>
    <n v="7"/>
    <n v="2.7999999999999581E-2"/>
    <n v="0.83820998278829606"/>
    <n v="2922"/>
    <n v="24.549295774647888"/>
    <n v="400"/>
    <n v="0"/>
    <n v="174"/>
    <n v="0"/>
    <n v="0.16179001721170394"/>
    <n v="0.37719298245614036"/>
    <n v="1767"/>
    <n v="3486"/>
    <n v="1312"/>
    <n v="3486"/>
    <n v="3486"/>
    <n v="1"/>
    <n v="0"/>
    <n v="0.50688468158347677"/>
    <n v="1"/>
    <s v="No"/>
    <n v="1"/>
    <n v="0"/>
    <n v="400"/>
    <n v="0"/>
    <s v="Yes"/>
    <n v="0"/>
    <s v="Camp"/>
    <x v="0"/>
    <s v="Muslim"/>
    <n v="20.185917"/>
    <n v="92.831000000000003"/>
    <s v="MMR012CMP092"/>
    <x v="0"/>
    <n v="88"/>
    <n v="397"/>
    <n v="485"/>
    <m/>
    <m/>
    <m/>
    <m/>
    <n v="657"/>
    <n v="3906"/>
  </r>
  <r>
    <x v="1"/>
    <x v="2"/>
    <x v="2"/>
    <s v="FCDO"/>
    <x v="0"/>
    <x v="1"/>
    <x v="0"/>
    <x v="12"/>
    <n v="774"/>
    <n v="3095"/>
    <n v="3.9987080103359172"/>
    <d v="2022-04-01T00:00:00"/>
    <d v="2022-09-30T00:00:00"/>
    <m/>
    <n v="72"/>
    <n v="80"/>
    <m/>
    <m/>
    <m/>
    <m/>
    <n v="14"/>
    <n v="0.71"/>
    <m/>
    <m/>
    <m/>
    <m/>
    <m/>
    <m/>
    <n v="164"/>
    <n v="187"/>
    <n v="74"/>
    <n v="83"/>
    <n v="1"/>
    <n v="1"/>
    <n v="0.1"/>
    <m/>
    <n v="19"/>
    <n v="2"/>
    <m/>
    <x v="0"/>
    <m/>
    <n v="628"/>
    <n v="829"/>
    <m/>
    <m/>
    <n v="774"/>
    <n v="1548"/>
    <n v="1"/>
    <n v="1"/>
    <m/>
    <m/>
    <n v="1"/>
    <n v="1"/>
    <n v="1"/>
    <n v="1"/>
    <m/>
    <m/>
    <m/>
    <m/>
    <m/>
    <m/>
    <m/>
    <m/>
    <s v="Tested"/>
    <s v="no test"/>
    <x v="1"/>
    <n v="1"/>
    <n v="3095"/>
    <n v="6.19"/>
    <n v="0"/>
    <n v="0"/>
    <n v="6"/>
    <n v="0"/>
    <n v="1"/>
    <n v="3095"/>
    <n v="18.871951219512194"/>
    <n v="100"/>
    <n v="0"/>
    <n v="155"/>
    <n v="0"/>
    <n v="0"/>
    <n v="0.12299465240641712"/>
    <n v="1457"/>
    <n v="3095"/>
    <n v="1548"/>
    <n v="3095"/>
    <n v="3095"/>
    <n v="1"/>
    <n v="0"/>
    <n v="0.47075928917609045"/>
    <n v="1"/>
    <s v="No"/>
    <n v="1"/>
    <n v="0"/>
    <n v="100"/>
    <n v="0"/>
    <s v="Yes"/>
    <n v="0"/>
    <s v="Camp"/>
    <x v="0"/>
    <s v="Muslim"/>
    <n v="20.206778"/>
    <n v="92.774193999999994"/>
    <s v="MMR012CMP098"/>
    <x v="0"/>
    <n v="42"/>
    <n v="432"/>
    <n v="474"/>
    <m/>
    <m/>
    <m/>
    <m/>
    <n v="777"/>
    <n v="4735"/>
  </r>
  <r>
    <x v="1"/>
    <x v="1"/>
    <x v="1"/>
    <s v="FCDO"/>
    <x v="0"/>
    <x v="1"/>
    <x v="0"/>
    <x v="2"/>
    <n v="1012"/>
    <n v="5101"/>
    <n v="5.0405138339920947"/>
    <d v="2022-04-01T00:00:00"/>
    <d v="2022-09-30T00:00:00"/>
    <m/>
    <n v="47"/>
    <n v="51"/>
    <m/>
    <m/>
    <m/>
    <m/>
    <n v="66"/>
    <n v="0.61"/>
    <n v="69"/>
    <n v="0.23"/>
    <m/>
    <m/>
    <m/>
    <m/>
    <n v="225"/>
    <n v="254"/>
    <n v="179"/>
    <n v="331"/>
    <n v="1"/>
    <n v="0.97"/>
    <n v="0.11"/>
    <m/>
    <m/>
    <m/>
    <m/>
    <x v="0"/>
    <m/>
    <n v="51"/>
    <n v="373"/>
    <n v="137"/>
    <n v="159"/>
    <n v="1012"/>
    <n v="2024"/>
    <n v="0.86"/>
    <n v="1"/>
    <m/>
    <m/>
    <n v="0.94"/>
    <n v="0.87"/>
    <n v="0.91"/>
    <n v="0.86"/>
    <m/>
    <n v="254"/>
    <m/>
    <m/>
    <m/>
    <m/>
    <m/>
    <m/>
    <s v="Tested"/>
    <s v="Tested"/>
    <x v="1"/>
    <n v="1"/>
    <n v="5101"/>
    <n v="10.202"/>
    <n v="0"/>
    <n v="0"/>
    <n v="10"/>
    <n v="0"/>
    <n v="0.88217996471280136"/>
    <n v="4500"/>
    <n v="22.671111111111109"/>
    <n v="0"/>
    <n v="0"/>
    <n v="255"/>
    <n v="1"/>
    <n v="0.11782003528719864"/>
    <n v="0.1141732283464567"/>
    <n v="720"/>
    <n v="5101"/>
    <n v="2024"/>
    <n v="5101"/>
    <n v="5101"/>
    <n v="1"/>
    <n v="0"/>
    <n v="0.14114879435404823"/>
    <n v="1"/>
    <s v="No"/>
    <n v="0.91"/>
    <n v="254"/>
    <n v="0"/>
    <n v="0"/>
    <s v="Yes"/>
    <n v="0"/>
    <s v="Camp"/>
    <x v="0"/>
    <s v="Muslim"/>
    <n v="20.179417000000001"/>
    <n v="92.813028000000003"/>
    <s v="MMR012CMP113"/>
    <x v="0"/>
    <n v="46"/>
    <n v="436"/>
    <n v="482"/>
    <m/>
    <m/>
    <m/>
    <m/>
    <n v="1012"/>
    <n v="5066"/>
  </r>
  <r>
    <x v="1"/>
    <x v="1"/>
    <x v="1"/>
    <s v="FCDO"/>
    <x v="0"/>
    <x v="1"/>
    <x v="0"/>
    <x v="3"/>
    <n v="1346"/>
    <n v="8728"/>
    <n v="6.4843982169390788"/>
    <d v="2022-04-01T00:00:00"/>
    <d v="2022-09-30T00:00:00"/>
    <m/>
    <n v="76"/>
    <n v="80"/>
    <m/>
    <m/>
    <m/>
    <m/>
    <n v="91"/>
    <n v="0.63"/>
    <n v="20"/>
    <n v="0.25"/>
    <m/>
    <m/>
    <m/>
    <m/>
    <n v="240"/>
    <n v="328"/>
    <m/>
    <m/>
    <m/>
    <m/>
    <m/>
    <m/>
    <m/>
    <m/>
    <m/>
    <x v="0"/>
    <m/>
    <m/>
    <m/>
    <m/>
    <m/>
    <n v="1331"/>
    <n v="2662"/>
    <m/>
    <m/>
    <m/>
    <m/>
    <m/>
    <m/>
    <m/>
    <m/>
    <m/>
    <n v="382"/>
    <m/>
    <m/>
    <m/>
    <m/>
    <m/>
    <m/>
    <s v="Tested"/>
    <s v="Tested"/>
    <x v="1"/>
    <n v="1"/>
    <n v="8728"/>
    <n v="17.456"/>
    <n v="0"/>
    <n v="0"/>
    <n v="17"/>
    <n v="0"/>
    <n v="0.54995417048579287"/>
    <n v="4800"/>
    <n v="36.366666666666667"/>
    <n v="0"/>
    <n v="0"/>
    <n v="436"/>
    <n v="108"/>
    <n v="0.45004582951420713"/>
    <n v="0.26829268292682928"/>
    <n v="0"/>
    <n v="8630.7340267459131"/>
    <n v="2662"/>
    <n v="8630.7340267459131"/>
    <n v="8630.7340267459131"/>
    <n v="0.98885586924219904"/>
    <n v="1.1144130757800963E-2"/>
    <n v="0"/>
    <n v="0.98885586924219915"/>
    <s v="No"/>
    <n v="0"/>
    <n v="382"/>
    <n v="0"/>
    <n v="0"/>
    <s v="Yes"/>
    <n v="0"/>
    <s v="Camp"/>
    <x v="0"/>
    <s v="Muslim"/>
    <n v="20.181405999999999"/>
    <n v="92.807552000000001"/>
    <s v="MMR012CMP114"/>
    <x v="0"/>
    <n v="242"/>
    <n v="822"/>
    <n v="1064"/>
    <m/>
    <m/>
    <m/>
    <m/>
    <n v="1346"/>
    <n v="8414"/>
  </r>
  <r>
    <x v="1"/>
    <x v="2"/>
    <x v="2"/>
    <s v="FCDO"/>
    <x v="0"/>
    <x v="1"/>
    <x v="0"/>
    <x v="13"/>
    <n v="2728"/>
    <n v="13302"/>
    <n v="4.8760997067448679"/>
    <d v="2022-04-01T00:00:00"/>
    <d v="2022-09-30T00:00:00"/>
    <m/>
    <n v="227"/>
    <n v="229"/>
    <m/>
    <m/>
    <m/>
    <m/>
    <n v="88"/>
    <n v="0.8"/>
    <n v="81"/>
    <n v="0.33"/>
    <m/>
    <m/>
    <m/>
    <m/>
    <n v="648"/>
    <n v="689"/>
    <n v="163"/>
    <n v="366"/>
    <n v="1"/>
    <n v="0.97"/>
    <n v="0.1"/>
    <m/>
    <m/>
    <n v="34"/>
    <m/>
    <x v="0"/>
    <m/>
    <n v="2227"/>
    <n v="3064"/>
    <m/>
    <m/>
    <n v="2728"/>
    <n v="5456"/>
    <n v="1"/>
    <n v="1"/>
    <n v="2"/>
    <m/>
    <n v="1"/>
    <n v="1"/>
    <n v="1"/>
    <n v="1"/>
    <m/>
    <m/>
    <m/>
    <m/>
    <m/>
    <m/>
    <m/>
    <m/>
    <s v="Tested"/>
    <s v="Tested"/>
    <x v="1"/>
    <n v="1"/>
    <n v="13302"/>
    <n v="26.603999999999999"/>
    <n v="0"/>
    <n v="0"/>
    <n v="27"/>
    <n v="0.3960000000000008"/>
    <n v="0.97428958051420844"/>
    <n v="12960"/>
    <n v="20.527777777777779"/>
    <n v="1700"/>
    <n v="0"/>
    <n v="665"/>
    <n v="0"/>
    <n v="2.5710419485791558E-2"/>
    <n v="5.9506531204644414E-2"/>
    <n v="5291"/>
    <n v="13302"/>
    <n v="5456"/>
    <n v="13302"/>
    <n v="13302"/>
    <n v="1"/>
    <n v="0"/>
    <n v="0.39775973537813863"/>
    <n v="1"/>
    <s v="No"/>
    <n v="1"/>
    <n v="0"/>
    <n v="1700"/>
    <n v="0"/>
    <s v="Yes"/>
    <n v="0"/>
    <s v="Camp"/>
    <x v="0"/>
    <s v="Muslim"/>
    <n v="20.18994"/>
    <n v="92.798880999999994"/>
    <s v="MMR012CMP115"/>
    <x v="0"/>
    <n v="168"/>
    <n v="1744"/>
    <n v="1912"/>
    <m/>
    <m/>
    <m/>
    <m/>
    <n v="2640"/>
    <n v="15778"/>
  </r>
  <r>
    <x v="1"/>
    <x v="4"/>
    <x v="4"/>
    <s v="OFDA"/>
    <x v="0"/>
    <x v="1"/>
    <x v="0"/>
    <x v="14"/>
    <n v="2275"/>
    <n v="12495"/>
    <n v="5.4923076923076923"/>
    <d v="2022-06-01T00:00:00"/>
    <d v="2023-05-31T00:00:00"/>
    <m/>
    <n v="196"/>
    <n v="213"/>
    <m/>
    <m/>
    <m/>
    <m/>
    <m/>
    <m/>
    <n v="120"/>
    <n v="0.71"/>
    <m/>
    <m/>
    <m/>
    <m/>
    <n v="827"/>
    <n v="830"/>
    <n v="177"/>
    <n v="200"/>
    <m/>
    <m/>
    <m/>
    <n v="2"/>
    <n v="45"/>
    <m/>
    <m/>
    <x v="0"/>
    <m/>
    <n v="1940"/>
    <n v="3000"/>
    <n v="1830"/>
    <n v="1900"/>
    <n v="2275"/>
    <n v="3118"/>
    <m/>
    <m/>
    <m/>
    <m/>
    <m/>
    <m/>
    <m/>
    <m/>
    <m/>
    <m/>
    <m/>
    <m/>
    <m/>
    <m/>
    <m/>
    <m/>
    <s v="no test"/>
    <s v="Tested"/>
    <x v="1"/>
    <n v="1"/>
    <n v="12495"/>
    <n v="24.99"/>
    <n v="0"/>
    <n v="0"/>
    <n v="25"/>
    <n v="1.0000000000001563E-2"/>
    <n v="1"/>
    <n v="12495"/>
    <n v="15.108827085852479"/>
    <n v="0"/>
    <n v="0"/>
    <n v="625"/>
    <n v="0"/>
    <n v="0"/>
    <n v="3.6144578313253013E-3"/>
    <n v="8670"/>
    <n v="12495"/>
    <n v="3118"/>
    <n v="12495"/>
    <n v="12495"/>
    <n v="1"/>
    <n v="0"/>
    <n v="0.69387755102040816"/>
    <n v="1"/>
    <s v="No"/>
    <n v="0"/>
    <n v="0"/>
    <n v="0"/>
    <n v="0"/>
    <s v="Yes"/>
    <n v="0"/>
    <s v="Camp"/>
    <x v="0"/>
    <s v="Muslim"/>
    <n v="20.185092000000001"/>
    <n v="92.802295999999998"/>
    <s v="MMR012CMP116"/>
    <x v="0"/>
    <n v="223"/>
    <n v="1507"/>
    <n v="1730"/>
    <m/>
    <m/>
    <m/>
    <m/>
    <n v="2275"/>
    <n v="123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44"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3:C9" firstHeaderRow="1" firstDataRow="1" firstDataCol="3"/>
  <pivotFields count="122">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m="1" x="2"/>
        <item m="1" x="3"/>
        <item x="0"/>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6">
    <i>
      <x v="3"/>
      <x v="3"/>
      <x v="3"/>
    </i>
    <i r="1">
      <x v="27"/>
      <x v="28"/>
    </i>
    <i r="1">
      <x v="30"/>
      <x v="31"/>
    </i>
    <i r="1">
      <x v="35"/>
      <x v="34"/>
    </i>
    <i r="1">
      <x v="36"/>
      <x v="35"/>
    </i>
    <i r="1">
      <x v="40"/>
      <x v="39"/>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4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rowHeaderCaption="Township">
  <location ref="J109:M114" firstHeaderRow="0" firstDataRow="1" firstDataCol="1" rowPageCount="1" colPageCount="1"/>
  <pivotFields count="122">
    <pivotField axis="axisPage" multipleItemSelectionAllowed="1" showAll="0">
      <items count="25">
        <item m="1" x="21"/>
        <item m="1" x="22"/>
        <item m="1" x="8"/>
        <item m="1" x="23"/>
        <item m="1" x="15"/>
        <item m="1" x="17"/>
        <item m="1" x="19"/>
        <item m="1" x="20"/>
        <item m="1" x="4"/>
        <item m="1" x="11"/>
        <item m="1" x="13"/>
        <item m="1" x="16"/>
        <item m="1" x="18"/>
        <item h="1" m="1" x="6"/>
        <item h="1" m="1" x="9"/>
        <item h="1" m="1" x="12"/>
        <item m="1" x="2"/>
        <item m="1" x="14"/>
        <item h="1" m="1" x="3"/>
        <item h="1" m="1" x="5"/>
        <item h="1" m="1" x="7"/>
        <item m="1" x="10"/>
        <item h="1" x="0"/>
        <item x="1"/>
        <item t="default"/>
      </items>
    </pivotField>
    <pivotField showAll="0"/>
    <pivotField showAll="0"/>
    <pivotField showAll="0"/>
    <pivotField showAll="0"/>
    <pivotField axis="axisRow"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28" baseField="0" baseItem="0"/>
    <dataField name="Average of Latrine Usage (PPL:1latrine)" fld="75" subtotal="average" baseField="5" baseItem="9" numFmtId="164"/>
  </dataFields>
  <formats count="1">
    <format dxfId="1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L30:P31" firstHeaderRow="0" firstDataRow="1"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04"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139">
      <pivotArea type="all" dataOnly="0" outline="0" fieldPosition="0"/>
    </format>
    <format dxfId="138">
      <pivotArea outline="0" collapsedLevelsAreSubtotals="1" fieldPosition="0"/>
    </format>
    <format dxfId="137">
      <pivotArea type="all" dataOnly="0" outline="0" fieldPosition="0"/>
    </format>
    <format dxfId="136">
      <pivotArea type="all" dataOnly="0" outline="0" fieldPosition="0"/>
    </format>
    <format dxfId="135">
      <pivotArea outline="0" collapsedLevelsAreSubtotals="1" fieldPosition="0"/>
    </format>
    <format dxfId="134">
      <pivotArea field="4" type="button" dataOnly="0" labelOnly="1" outline="0" axis="axisPage" fieldPosition="1"/>
    </format>
    <format dxfId="133">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8:E180" firstHeaderRow="0" firstDataRow="1" firstDataCol="1" rowPageCount="1" colPageCount="1"/>
  <pivotFields count="122">
    <pivotField axis="axisRow" subtotalTop="0" multipleItemSelectionAllowed="1" showAll="0">
      <items count="25">
        <item m="1" x="22"/>
        <item m="1" x="8"/>
        <item m="1" x="23"/>
        <item m="1" x="15"/>
        <item m="1" x="4"/>
        <item m="1" x="2"/>
        <item m="1" x="21"/>
        <item m="1" x="17"/>
        <item m="1" x="19"/>
        <item m="1" x="20"/>
        <item m="1" x="11"/>
        <item m="1" x="13"/>
        <item m="1" x="18"/>
        <item m="1" x="16"/>
        <item m="1" x="6"/>
        <item m="1" x="9"/>
        <item m="1" x="12"/>
        <item m="1" x="14"/>
        <item m="1" x="3"/>
        <item m="1" x="5"/>
        <item m="1" x="7"/>
        <item m="1" x="10"/>
        <item x="0"/>
        <item x="1"/>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22"/>
    </i>
    <i>
      <x v="23"/>
    </i>
  </rowItems>
  <colFields count="1">
    <field x="-2"/>
  </colFields>
  <colItems count="3">
    <i>
      <x/>
    </i>
    <i i="1">
      <x v="1"/>
    </i>
    <i i="2">
      <x v="2"/>
    </i>
  </colItems>
  <pageFields count="1">
    <pageField fld="104" item="0" hier="-1"/>
  </pageFields>
  <dataFields count="3">
    <dataField name="Sum of #_of_functional_children_latrines" fld="35" baseField="0" baseItem="0" numFmtId="164"/>
    <dataField name="Sum of #_of_latrines_desludged " fld="31" baseField="0" baseItem="0" numFmtId="1"/>
    <dataField name="Sum of #_latrines_repaired" fld="30" baseField="0" baseItem="0" numFmtId="1"/>
  </dataFields>
  <formats count="15">
    <format dxfId="154">
      <pivotArea type="all" dataOnly="0" outline="0" fieldPosition="0"/>
    </format>
    <format dxfId="153">
      <pivotArea outline="0" collapsedLevelsAreSubtotals="1" fieldPosition="0"/>
    </format>
    <format dxfId="152">
      <pivotArea type="origin" dataOnly="0" labelOnly="1" outline="0" fieldPosition="0"/>
    </format>
    <format dxfId="151">
      <pivotArea type="topRight" dataOnly="0" labelOnly="1" outline="0" fieldPosition="0"/>
    </format>
    <format dxfId="150">
      <pivotArea field="4" type="button" dataOnly="0" labelOnly="1" outline="0"/>
    </format>
    <format dxfId="149">
      <pivotArea dataOnly="0" labelOnly="1" grandRow="1" outline="0" fieldPosition="0"/>
    </format>
    <format dxfId="148">
      <pivotArea dataOnly="0" labelOnly="1" grandCol="1" outline="0" fieldPosition="0"/>
    </format>
    <format dxfId="147">
      <pivotArea type="all" dataOnly="0" outline="0" fieldPosition="0"/>
    </format>
    <format dxfId="146">
      <pivotArea outline="0" collapsedLevelsAreSubtotals="1" fieldPosition="0"/>
    </format>
    <format dxfId="145">
      <pivotArea type="all" dataOnly="0" outline="0" fieldPosition="0"/>
    </format>
    <format dxfId="144">
      <pivotArea outline="0" collapsedLevelsAreSubtotals="1" fieldPosition="0"/>
    </format>
    <format dxfId="143">
      <pivotArea dataOnly="0" labelOnly="1" outline="0" axis="axisValues" fieldPosition="0"/>
    </format>
    <format dxfId="142">
      <pivotArea outline="0" collapsedLevelsAreSubtotals="1" fieldPosition="0">
        <references count="1">
          <reference field="4294967294" count="1" selected="0">
            <x v="0"/>
          </reference>
        </references>
      </pivotArea>
    </format>
    <format dxfId="141">
      <pivotArea outline="0" collapsedLevelsAreSubtotals="1" fieldPosition="0">
        <references count="1">
          <reference field="4294967294" count="2" selected="0">
            <x v="1"/>
            <x v="2"/>
          </reference>
        </references>
      </pivotArea>
    </format>
    <format dxfId="140">
      <pivotArea dataOnly="0" labelOnly="1" outline="0" fieldPosition="0">
        <references count="1">
          <reference field="4294967294" count="2">
            <x v="1"/>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4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H317:I321" firstHeaderRow="1" firstDataRow="1" firstDataCol="1" rowPageCount="2" colPageCount="1"/>
  <pivotFields count="122">
    <pivotField axis="axisPage" subtotalTop="0" multipleItemSelectionAllowed="1" showAll="0">
      <items count="25">
        <item m="1" x="22"/>
        <item m="1" x="8"/>
        <item m="1" x="23"/>
        <item m="1" x="15"/>
        <item m="1" x="4"/>
        <item m="1" x="2"/>
        <item m="1" x="21"/>
        <item m="1" x="17"/>
        <item m="1" x="19"/>
        <item m="1" x="20"/>
        <item m="1" x="11"/>
        <item m="1" x="13"/>
        <item m="1" x="18"/>
        <item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04" hier="-1"/>
  </pageFields>
  <dataFields count="4">
    <dataField name=" #_PPL_accessed_water_in_TLS" fld="25" baseField="0" baseItem="0"/>
    <dataField name=" #_PPL_accessed_water_in_THF" fld="26" baseField="4" baseItem="1"/>
    <dataField name="# students access to functioning school latrines" fld="76" baseField="0" baseItem="0"/>
    <dataField name="Sum of # people access to functioning latrines in THF_HRP6" fld="77" baseField="0" baseItem="0"/>
  </dataFields>
  <formats count="17">
    <format dxfId="171">
      <pivotArea type="all" dataOnly="0" outline="0" fieldPosition="0"/>
    </format>
    <format dxfId="170">
      <pivotArea outline="0" collapsedLevelsAreSubtotals="1" fieldPosition="0"/>
    </format>
    <format dxfId="169">
      <pivotArea field="4" type="button" dataOnly="0" labelOnly="1" outline="0"/>
    </format>
    <format dxfId="168">
      <pivotArea dataOnly="0" labelOnly="1" grandRow="1" outline="0" fieldPosition="0"/>
    </format>
    <format dxfId="167">
      <pivotArea type="all" dataOnly="0" outline="0" fieldPosition="0"/>
    </format>
    <format dxfId="166">
      <pivotArea outline="0" collapsedLevelsAreSubtotals="1" fieldPosition="0"/>
    </format>
    <format dxfId="165">
      <pivotArea type="origin" dataOnly="0" labelOnly="1" outline="0" fieldPosition="0"/>
    </format>
    <format dxfId="164">
      <pivotArea field="104" type="button" dataOnly="0" labelOnly="1" outline="0" axis="axisPage" fieldPosition="1"/>
    </format>
    <format dxfId="163">
      <pivotArea type="topRight" dataOnly="0" labelOnly="1" outline="0" fieldPosition="0"/>
    </format>
    <format dxfId="162">
      <pivotArea dataOnly="0" labelOnly="1" fieldPosition="0">
        <references count="1">
          <reference field="104" count="0"/>
        </references>
      </pivotArea>
    </format>
    <format dxfId="161">
      <pivotArea type="all" dataOnly="0" outline="0" fieldPosition="0"/>
    </format>
    <format dxfId="160">
      <pivotArea outline="0" collapsedLevelsAreSubtotals="1" fieldPosition="0"/>
    </format>
    <format dxfId="159">
      <pivotArea field="4" type="button" dataOnly="0" labelOnly="1" outline="0"/>
    </format>
    <format dxfId="158">
      <pivotArea outline="0" collapsedLevelsAreSubtotals="1" fieldPosition="0"/>
    </format>
    <format dxfId="157">
      <pivotArea field="4" type="button" dataOnly="0" labelOnly="1" outline="0"/>
    </format>
    <format dxfId="156">
      <pivotArea field="4" type="button" dataOnly="0" labelOnly="1" outline="0"/>
    </format>
    <format dxfId="155">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43"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5]" cap="5"/>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13" level="1">
        <member name="[WWWW].[#_Water samples_Tested_at_HH].&amp;[5]"/>
        <member name="[WWWW].[#_Water samples_Tested_at_HH].&amp;[6]"/>
        <member name="[WWWW].[#_Water samples_Tested_at_HH].&amp;[8]"/>
        <member name="[WWWW].[#_Water samples_Tested_at_HH].&amp;[20]"/>
        <member name="[WWWW].[#_Water samples_Tested_at_HH].&amp;[60]"/>
        <member name="[WWWW].[#_Water samples_Tested_at_HH].&amp;[69]"/>
        <member name="[WWWW].[#_Water samples_Tested_at_HH].&amp;[74]"/>
        <member name="[WWWW].[#_Water samples_Tested_at_HH].&amp;[76]"/>
        <member name="[WWWW].[#_Water samples_Tested_at_HH].&amp;[81]"/>
        <member name="[WWWW].[#_Water samples_Tested_at_HH].&amp;[84]"/>
        <member name="[WWWW].[#_Water samples_Tested_at_HH].&amp;[90]"/>
        <member name="[WWWW].[#_Water samples_Tested_at_HH].&amp;[114]"/>
        <member name="[WWWW].[#_Water samples_Tested_at_HH].&amp;[1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37" firstHeaderRow="0" firstDataRow="0" firstDataCol="0" rowPageCount="2" colPageCount="1"/>
  <pivotFields count="122">
    <pivotField axis="axisPage" subtotalTop="0" multipleItemSelectionAllowed="1" showAll="0">
      <items count="25">
        <item m="1" x="22"/>
        <item m="1" x="8"/>
        <item m="1" x="23"/>
        <item m="1" x="15"/>
        <item m="1" x="4"/>
        <item m="1" x="2"/>
        <item m="1" x="21"/>
        <item m="1" x="17"/>
        <item m="1" x="19"/>
        <item m="1" x="20"/>
        <item m="1" x="11"/>
        <item m="1" x="13"/>
        <item m="1" x="18"/>
        <item m="1" x="16"/>
        <item h="1" m="1" x="6"/>
        <item h="1" m="1" x="9"/>
        <item h="1" m="1" x="12"/>
        <item m="1" x="14"/>
        <item h="1" m="1" x="3"/>
        <item m="1" x="5"/>
        <item h="1" m="1" x="7"/>
        <item h="1" m="1" x="10"/>
        <item h="1" x="0"/>
        <item h="1" x="1"/>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04" hier="-1"/>
  </pageFields>
  <formats count="17">
    <format dxfId="188">
      <pivotArea type="all" dataOnly="0" outline="0" fieldPosition="0"/>
    </format>
    <format dxfId="187">
      <pivotArea outline="0" collapsedLevelsAreSubtotals="1" fieldPosition="0"/>
    </format>
    <format dxfId="186">
      <pivotArea field="4" type="button" dataOnly="0" labelOnly="1" outline="0"/>
    </format>
    <format dxfId="185">
      <pivotArea dataOnly="0" labelOnly="1" grandRow="1" outline="0" fieldPosition="0"/>
    </format>
    <format dxfId="184">
      <pivotArea type="all" dataOnly="0" outline="0" fieldPosition="0"/>
    </format>
    <format dxfId="183">
      <pivotArea outline="0" collapsedLevelsAreSubtotals="1" fieldPosition="0"/>
    </format>
    <format dxfId="182">
      <pivotArea type="origin" dataOnly="0" labelOnly="1" outline="0" fieldPosition="0"/>
    </format>
    <format dxfId="181">
      <pivotArea field="104" type="button" dataOnly="0" labelOnly="1" outline="0" axis="axisPage" fieldPosition="1"/>
    </format>
    <format dxfId="180">
      <pivotArea type="topRight" dataOnly="0" labelOnly="1" outline="0" fieldPosition="0"/>
    </format>
    <format dxfId="179">
      <pivotArea dataOnly="0" labelOnly="1" fieldPosition="0">
        <references count="1">
          <reference field="104" count="0"/>
        </references>
      </pivotArea>
    </format>
    <format dxfId="178">
      <pivotArea type="all" dataOnly="0" outline="0" fieldPosition="0"/>
    </format>
    <format dxfId="177">
      <pivotArea outline="0" collapsedLevelsAreSubtotals="1" fieldPosition="0"/>
    </format>
    <format dxfId="176">
      <pivotArea field="4" type="button" dataOnly="0" labelOnly="1" outline="0"/>
    </format>
    <format dxfId="175">
      <pivotArea field="4" type="button" dataOnly="0" labelOnly="1" outline="0"/>
    </format>
    <format dxfId="174">
      <pivotArea field="4" type="button" dataOnly="0" labelOnly="1" outline="0"/>
    </format>
    <format dxfId="173">
      <pivotArea field="4" type="button" dataOnly="0" labelOnly="1" outline="0"/>
    </format>
    <format dxfId="172">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55:E356" firstHeaderRow="0" firstDataRow="1" firstDataCol="0" rowPageCount="2" colPageCount="1"/>
  <pivotFields count="122">
    <pivotField axis="axisPage" subtotalTop="0" multipleItemSelectionAllowed="1" showAll="0">
      <items count="25">
        <item m="1" x="22"/>
        <item m="1" x="8"/>
        <item m="1" x="23"/>
        <item m="1" x="15"/>
        <item m="1" x="4"/>
        <item m="1" x="2"/>
        <item m="1" x="21"/>
        <item m="1" x="17"/>
        <item m="1" x="19"/>
        <item m="1" x="20"/>
        <item m="1" x="11"/>
        <item m="1" x="13"/>
        <item m="1" x="18"/>
        <item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04" hier="-1"/>
  </pageFields>
  <dataFields count="4">
    <dataField name="Average of %_of_affected_people_surveyed_who_report_feeling_satistfied_with_the_latrine_design_and_sanitation_service" fld="51" subtotal="average" baseField="0" baseItem="1"/>
    <dataField name="Average of %_of_affected_people_surveyed_who_report_feeling_satistfied_with_the_water_point_design_and_water_service" fld="52" subtotal="average" baseField="0" baseItem="1"/>
    <dataField name="Average of %_of_complaints_received_that_result_in_timely_corrective_action_and_feedback_to_the_community" fld="54" subtotal="average" baseField="10" baseItem="0"/>
    <dataField name="Average of %_of_affected_people_surveyed_who_report_feeling_informed_about_the_different_WASH_services_available_to_them" fld="53" subtotal="average" baseField="0" baseItem="3"/>
  </dataFields>
  <formats count="17">
    <format dxfId="205">
      <pivotArea type="all" dataOnly="0" outline="0" fieldPosition="0"/>
    </format>
    <format dxfId="204">
      <pivotArea outline="0" collapsedLevelsAreSubtotals="1" fieldPosition="0"/>
    </format>
    <format dxfId="203">
      <pivotArea field="4" type="button" dataOnly="0" labelOnly="1" outline="0"/>
    </format>
    <format dxfId="202">
      <pivotArea dataOnly="0" labelOnly="1" grandRow="1" outline="0" fieldPosition="0"/>
    </format>
    <format dxfId="201">
      <pivotArea type="all" dataOnly="0" outline="0" fieldPosition="0"/>
    </format>
    <format dxfId="200">
      <pivotArea outline="0" collapsedLevelsAreSubtotals="1" fieldPosition="0"/>
    </format>
    <format dxfId="199">
      <pivotArea type="origin" dataOnly="0" labelOnly="1" outline="0" fieldPosition="0"/>
    </format>
    <format dxfId="198">
      <pivotArea field="104" type="button" dataOnly="0" labelOnly="1" outline="0" axis="axisPage" fieldPosition="1"/>
    </format>
    <format dxfId="197">
      <pivotArea type="topRight" dataOnly="0" labelOnly="1" outline="0" fieldPosition="0"/>
    </format>
    <format dxfId="196">
      <pivotArea dataOnly="0" labelOnly="1" fieldPosition="0">
        <references count="1">
          <reference field="104" count="0"/>
        </references>
      </pivotArea>
    </format>
    <format dxfId="195">
      <pivotArea type="all" dataOnly="0" outline="0" fieldPosition="0"/>
    </format>
    <format dxfId="194">
      <pivotArea outline="0" collapsedLevelsAreSubtotals="1" fieldPosition="0"/>
    </format>
    <format dxfId="193">
      <pivotArea field="4" type="button" dataOnly="0" labelOnly="1" outline="0"/>
    </format>
    <format dxfId="192">
      <pivotArea field="4" type="button" dataOnly="0" labelOnly="1" outline="0"/>
    </format>
    <format dxfId="191">
      <pivotArea field="4" type="button" dataOnly="0" labelOnly="1" outline="0"/>
    </format>
    <format dxfId="190">
      <pivotArea field="4" type="button" dataOnly="0" labelOnly="1" outline="0"/>
    </format>
    <format dxfId="189">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4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02:C109" firstHeaderRow="1" firstDataRow="2" firstDataCol="1" rowPageCount="3"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1">
        <item n="# in active camps (20:1)" x="0"/>
        <item m="1" x="2"/>
        <item m="1" x="9"/>
        <item h="1" m="1" x="10"/>
        <item m="1" x="8"/>
        <item m="1" x="1"/>
        <item n="# in villages (6: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04" hier="-1"/>
  </pageFields>
  <dataFields count="6">
    <dataField name="# latrines (target)" fld="78" baseField="0" baseItem="0"/>
    <dataField name="Sum of #_latrines_repaired" fld="30" baseField="6" baseItem="0"/>
    <dataField name="Sum of #_Existing_latrines" fld="29" baseField="0" baseItem="0"/>
    <dataField name="Sum of #_Functional_adult_latrines" fld="28" baseField="6" baseItem="0"/>
    <dataField name="Sum of #_of_PWD_with_adapted_sanitation_option" fld="36" baseField="6" baseItem="0"/>
    <dataField name="Sum of #_of_functional_children_latrines" fld="35" baseField="6" baseItem="0"/>
  </dataFields>
  <formats count="12">
    <format dxfId="217">
      <pivotArea field="4" type="button" dataOnly="0" labelOnly="1" outline="0" axis="axisPage" fieldPosition="1"/>
    </format>
    <format dxfId="216">
      <pivotArea type="all" dataOnly="0" outline="0" fieldPosition="0"/>
    </format>
    <format dxfId="215">
      <pivotArea outline="0" collapsedLevelsAreSubtotals="1" fieldPosition="0"/>
    </format>
    <format dxfId="214">
      <pivotArea type="origin" dataOnly="0" labelOnly="1" outline="0" fieldPosition="0"/>
    </format>
    <format dxfId="213">
      <pivotArea type="topRight" dataOnly="0" labelOnly="1" outline="0" fieldPosition="0"/>
    </format>
    <format dxfId="212">
      <pivotArea field="-2" type="button" dataOnly="0" labelOnly="1" outline="0" axis="axisRow" fieldPosition="0"/>
    </format>
    <format dxfId="211">
      <pivotArea type="all" dataOnly="0" outline="0" fieldPosition="0"/>
    </format>
    <format dxfId="210">
      <pivotArea outline="0" collapsedLevelsAreSubtotals="1" fieldPosition="0"/>
    </format>
    <format dxfId="209">
      <pivotArea dataOnly="0" labelOnly="1" outline="0" fieldPosition="0">
        <references count="1">
          <reference field="4294967294" count="1">
            <x v="0"/>
          </reference>
        </references>
      </pivotArea>
    </format>
    <format dxfId="208">
      <pivotArea field="4" type="button" dataOnly="0" labelOnly="1" outline="0" axis="axisPage" fieldPosition="1"/>
    </format>
    <format dxfId="207">
      <pivotArea dataOnly="0" labelOnly="1" outline="0" fieldPosition="0">
        <references count="1">
          <reference field="4" count="1">
            <x v="1"/>
          </reference>
        </references>
      </pivotArea>
    </format>
    <format dxfId="206">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hier="-1"/>
  </pageFields>
  <dataFields count="2">
    <dataField name=" % Water Coverage" fld="116" baseField="0" baseItem="0"/>
    <dataField name=" % Water GAP" fld="117" baseField="0" baseItem="0"/>
  </dataFields>
  <formats count="13">
    <format dxfId="230">
      <pivotArea field="4" type="button" dataOnly="0" labelOnly="1" outline="0" axis="axisPage" fieldPosition="2"/>
    </format>
    <format dxfId="229">
      <pivotArea type="all" dataOnly="0" outline="0" fieldPosition="0"/>
    </format>
    <format dxfId="228">
      <pivotArea outline="0" collapsedLevelsAreSubtotals="1" fieldPosition="0"/>
    </format>
    <format dxfId="227">
      <pivotArea field="4" type="button" dataOnly="0" labelOnly="1" outline="0" axis="axisPage" fieldPosition="2"/>
    </format>
    <format dxfId="226">
      <pivotArea type="all" dataOnly="0" outline="0" fieldPosition="0"/>
    </format>
    <format dxfId="225">
      <pivotArea outline="0" collapsedLevelsAreSubtotals="1" fieldPosition="0"/>
    </format>
    <format dxfId="224">
      <pivotArea outline="0" collapsedLevelsAreSubtotals="1" fieldPosition="0"/>
    </format>
    <format dxfId="223">
      <pivotArea field="5" type="button" dataOnly="0" labelOnly="1" outline="0" axis="axisRow" fieldPosition="0"/>
    </format>
    <format dxfId="222">
      <pivotArea field="5" type="button" dataOnly="0" labelOnly="1" outline="0" axis="axisRow" fieldPosition="0"/>
    </format>
    <format dxfId="221">
      <pivotArea field="5" type="button" dataOnly="0" labelOnly="1" outline="0" axis="axisRow" fieldPosition="0"/>
    </format>
    <format dxfId="220">
      <pivotArea field="4" type="button" dataOnly="0" labelOnly="1" outline="0" axis="axisPage" fieldPosition="2"/>
    </format>
    <format dxfId="219">
      <pivotArea dataOnly="0" labelOnly="1" outline="0" fieldPosition="0">
        <references count="2">
          <reference field="4" count="1">
            <x v="1"/>
          </reference>
          <reference field="104" count="1" selected="0">
            <x v="0"/>
          </reference>
        </references>
      </pivotArea>
    </format>
    <format dxfId="218">
      <pivotArea dataOnly="0" labelOnly="1" outline="0" fieldPosition="0">
        <references count="2">
          <reference field="4" count="1">
            <x v="2"/>
          </reference>
          <reference field="104"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44"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93:G195" firstHeaderRow="0" firstDataRow="1" firstDataCol="1" rowPageCount="3" colPageCount="1"/>
  <pivotFields count="122">
    <pivotField axis="axisPage" subtotalTop="0" multipleItemSelectionAllowed="1" showAll="0">
      <items count="25">
        <item h="1"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5">
    <i>
      <x/>
    </i>
    <i i="1">
      <x v="1"/>
    </i>
    <i i="2">
      <x v="2"/>
    </i>
    <i i="3">
      <x v="3"/>
    </i>
    <i i="4">
      <x v="4"/>
    </i>
  </colItems>
  <pageFields count="3">
    <pageField fld="0" hier="-1"/>
    <pageField fld="104" item="0" hier="-1"/>
    <pageField fld="6" hier="-1"/>
  </pageFields>
  <dataFields count="5">
    <dataField name="Sum of Total PoP " fld="9" baseField="0" baseItem="0"/>
    <dataField name="Sum of # people reached by regular dedicated hygiene promotion_5" fld="82" baseField="0" baseItem="0"/>
    <dataField name="Sum of #_of_affected_women_and_girls_receiving_a_sufficient_quantity_of_sanitary_pads" fld="46" baseField="0" baseItem="0"/>
    <dataField name="Sum of #_of_affected_households_receiving_a_sufficient_quantity_of_soap" fld="45" baseField="0" baseItem="0"/>
    <dataField name="Sum of Total HH" fld="8" baseField="0" baseItem="0"/>
  </dataFields>
  <formats count="12">
    <format dxfId="242">
      <pivotArea type="all" dataOnly="0" outline="0" fieldPosition="0"/>
    </format>
    <format dxfId="241">
      <pivotArea type="all" dataOnly="0" outline="0" fieldPosition="0"/>
    </format>
    <format dxfId="240">
      <pivotArea outline="0" collapsedLevelsAreSubtotals="1" fieldPosition="0"/>
    </format>
    <format dxfId="239">
      <pivotArea field="4" type="button" dataOnly="0" labelOnly="1" outline="0" axis="axisRow" fieldPosition="0"/>
    </format>
    <format dxfId="238">
      <pivotArea dataOnly="0" labelOnly="1" fieldPosition="0">
        <references count="1">
          <reference field="4" count="0"/>
        </references>
      </pivotArea>
    </format>
    <format dxfId="237">
      <pivotArea dataOnly="0" labelOnly="1" grandRow="1" outline="0" fieldPosition="0"/>
    </format>
    <format dxfId="236">
      <pivotArea type="all" dataOnly="0" outline="0" fieldPosition="0"/>
    </format>
    <format dxfId="235">
      <pivotArea outline="0" collapsedLevelsAreSubtotals="1" fieldPosition="0"/>
    </format>
    <format dxfId="234">
      <pivotArea field="4" type="button" dataOnly="0" labelOnly="1" outline="0" axis="axisRow" fieldPosition="0"/>
    </format>
    <format dxfId="233">
      <pivotArea dataOnly="0" labelOnly="1" fieldPosition="0">
        <references count="1">
          <reference field="4" count="0"/>
        </references>
      </pivotArea>
    </format>
    <format dxfId="232">
      <pivotArea dataOnly="0" labelOnly="1" grandRow="1" outline="0" fieldPosition="0"/>
    </format>
    <format dxfId="231">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44"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10" firstHeaderRow="0" firstDataRow="1" firstDataCol="1" rowPageCount="1" colPageCount="1"/>
  <pivotFields count="122">
    <pivotField axis="axisRow" subtotalTop="0" showAll="0" defaultSubtotal="0">
      <items count="24">
        <item m="1" x="22"/>
        <item m="1" x="15"/>
        <item m="1" x="2"/>
        <item m="1" x="8"/>
        <item m="1" x="23"/>
        <item m="1" x="4"/>
        <item m="1" x="21"/>
        <item m="1" x="17"/>
        <item m="1" x="19"/>
        <item m="1" x="20"/>
        <item m="1" x="11"/>
        <item m="1" x="13"/>
        <item m="1" x="18"/>
        <item m="1" x="16"/>
        <item m="1" x="6"/>
        <item m="1" x="9"/>
        <item m="1" x="12"/>
        <item m="1" x="14"/>
        <item m="1" x="3"/>
        <item m="1" x="5"/>
        <item m="1" x="7"/>
        <item m="1" x="10"/>
        <item x="0"/>
        <item x="1"/>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2">
    <field x="4"/>
    <field x="0"/>
  </rowFields>
  <rowItems count="4">
    <i>
      <x v="1"/>
    </i>
    <i r="1">
      <x v="22"/>
    </i>
    <i r="1">
      <x v="23"/>
    </i>
    <i t="grand">
      <x/>
    </i>
  </rowItems>
  <colFields count="1">
    <field x="-2"/>
  </colFields>
  <colItems count="8">
    <i>
      <x/>
    </i>
    <i i="1">
      <x v="1"/>
    </i>
    <i i="2">
      <x v="2"/>
    </i>
    <i i="3">
      <x v="3"/>
    </i>
    <i i="4">
      <x v="4"/>
    </i>
    <i i="5">
      <x v="5"/>
    </i>
    <i i="6">
      <x v="6"/>
    </i>
    <i i="7">
      <x v="7"/>
    </i>
  </colItems>
  <pageFields count="1">
    <pageField fld="104" item="0" hier="-1"/>
  </pageFields>
  <dataFields count="8">
    <dataField name="Total Population reached" fld="9" baseField="2" baseItem="0" numFmtId="3"/>
    <dataField name=" HRP1" fld="67" baseField="4" baseItem="0"/>
    <dataField name=" HRP2" fld="74" baseField="0" baseItem="0"/>
    <dataField name=" HRP3" fld="86" baseField="0" baseItem="0"/>
    <dataField name="HRP4 " fld="93" baseField="4" baseItem="4"/>
    <dataField name=" HRP5" fld="94" baseField="4" baseItem="4"/>
    <dataField name=" # People received regular supply of hygiene items" fld="85" baseField="0" baseItem="0"/>
    <dataField name=" # people reached by regular dedicated hygiene promotion" fld="82" baseField="0" baseItem="0"/>
  </dataFields>
  <formats count="50">
    <format dxfId="591">
      <pivotArea field="4" type="button" dataOnly="0" labelOnly="1" outline="0" axis="axisRow" fieldPosition="0"/>
    </format>
    <format dxfId="590">
      <pivotArea type="all" dataOnly="0" outline="0" fieldPosition="0"/>
    </format>
    <format dxfId="589">
      <pivotArea field="4" type="button" dataOnly="0" labelOnly="1" outline="0" axis="axisRow" fieldPosition="0"/>
    </format>
    <format dxfId="588">
      <pivotArea outline="0" fieldPosition="0">
        <references count="1">
          <reference field="4294967294" count="1">
            <x v="0"/>
          </reference>
        </references>
      </pivotArea>
    </format>
    <format dxfId="587">
      <pivotArea dataOnly="0" labelOnly="1" outline="0" fieldPosition="0">
        <references count="1">
          <reference field="4294967294" count="1">
            <x v="0"/>
          </reference>
        </references>
      </pivotArea>
    </format>
    <format dxfId="586">
      <pivotArea type="all" dataOnly="0" outline="0" fieldPosition="0"/>
    </format>
    <format dxfId="585">
      <pivotArea outline="0" collapsedLevelsAreSubtotals="1" fieldPosition="0"/>
    </format>
    <format dxfId="584">
      <pivotArea dataOnly="0" labelOnly="1" fieldPosition="0">
        <references count="1">
          <reference field="4" count="0"/>
        </references>
      </pivotArea>
    </format>
    <format dxfId="583">
      <pivotArea dataOnly="0" labelOnly="1" grandRow="1" outline="0" fieldPosition="0"/>
    </format>
    <format dxfId="582">
      <pivotArea dataOnly="0" labelOnly="1" outline="0" fieldPosition="0">
        <references count="1">
          <reference field="4294967294" count="1">
            <x v="0"/>
          </reference>
        </references>
      </pivotArea>
    </format>
    <format dxfId="581">
      <pivotArea type="all" dataOnly="0" outline="0" fieldPosition="0"/>
    </format>
    <format dxfId="580">
      <pivotArea outline="0" collapsedLevelsAreSubtotals="1" fieldPosition="0"/>
    </format>
    <format dxfId="579">
      <pivotArea dataOnly="0" labelOnly="1" fieldPosition="0">
        <references count="1">
          <reference field="4" count="0"/>
        </references>
      </pivotArea>
    </format>
    <format dxfId="578">
      <pivotArea dataOnly="0" labelOnly="1" grandRow="1" outline="0" fieldPosition="0"/>
    </format>
    <format dxfId="577">
      <pivotArea dataOnly="0" labelOnly="1" outline="0" fieldPosition="0">
        <references count="1">
          <reference field="4294967294" count="1">
            <x v="0"/>
          </reference>
        </references>
      </pivotArea>
    </format>
    <format dxfId="576">
      <pivotArea outline="0" collapsedLevelsAreSubtotals="1" fieldPosition="0"/>
    </format>
    <format dxfId="575">
      <pivotArea outline="0" collapsedLevelsAreSubtotals="1" fieldPosition="0">
        <references count="1">
          <reference field="4294967294" count="1" selected="0">
            <x v="1"/>
          </reference>
        </references>
      </pivotArea>
    </format>
    <format dxfId="574">
      <pivotArea dataOnly="0" labelOnly="1" outline="0" fieldPosition="0">
        <references count="1">
          <reference field="4294967294" count="1">
            <x v="1"/>
          </reference>
        </references>
      </pivotArea>
    </format>
    <format dxfId="573">
      <pivotArea outline="0" collapsedLevelsAreSubtotals="1" fieldPosition="0">
        <references count="1">
          <reference field="4294967294" count="1" selected="0">
            <x v="1"/>
          </reference>
        </references>
      </pivotArea>
    </format>
    <format dxfId="572">
      <pivotArea dataOnly="0" labelOnly="1" outline="0" fieldPosition="0">
        <references count="1">
          <reference field="4294967294" count="1">
            <x v="1"/>
          </reference>
        </references>
      </pivotArea>
    </format>
    <format dxfId="571">
      <pivotArea outline="0" collapsedLevelsAreSubtotals="1" fieldPosition="0">
        <references count="1">
          <reference field="4294967294" count="1" selected="0">
            <x v="2"/>
          </reference>
        </references>
      </pivotArea>
    </format>
    <format dxfId="570">
      <pivotArea dataOnly="0" labelOnly="1" outline="0" fieldPosition="0">
        <references count="1">
          <reference field="4294967294" count="1">
            <x v="2"/>
          </reference>
        </references>
      </pivotArea>
    </format>
    <format dxfId="569">
      <pivotArea outline="0" collapsedLevelsAreSubtotals="1" fieldPosition="0">
        <references count="1">
          <reference field="4294967294" count="1" selected="0">
            <x v="2"/>
          </reference>
        </references>
      </pivotArea>
    </format>
    <format dxfId="568">
      <pivotArea dataOnly="0" labelOnly="1" outline="0" fieldPosition="0">
        <references count="1">
          <reference field="4294967294" count="1">
            <x v="2"/>
          </reference>
        </references>
      </pivotArea>
    </format>
    <format dxfId="567">
      <pivotArea outline="0" collapsedLevelsAreSubtotals="1" fieldPosition="0">
        <references count="1">
          <reference field="4294967294" count="1" selected="0">
            <x v="3"/>
          </reference>
        </references>
      </pivotArea>
    </format>
    <format dxfId="566">
      <pivotArea dataOnly="0" labelOnly="1" outline="0" fieldPosition="0">
        <references count="1">
          <reference field="4294967294" count="1">
            <x v="3"/>
          </reference>
        </references>
      </pivotArea>
    </format>
    <format dxfId="565">
      <pivotArea outline="0" collapsedLevelsAreSubtotals="1" fieldPosition="0">
        <references count="1">
          <reference field="4294967294" count="1" selected="0">
            <x v="3"/>
          </reference>
        </references>
      </pivotArea>
    </format>
    <format dxfId="564">
      <pivotArea dataOnly="0" labelOnly="1" outline="0" fieldPosition="0">
        <references count="1">
          <reference field="4294967294" count="1">
            <x v="3"/>
          </reference>
        </references>
      </pivotArea>
    </format>
    <format dxfId="563">
      <pivotArea outline="0" collapsedLevelsAreSubtotals="1" fieldPosition="0">
        <references count="1">
          <reference field="4294967294" count="1" selected="0">
            <x v="0"/>
          </reference>
        </references>
      </pivotArea>
    </format>
    <format dxfId="562">
      <pivotArea dataOnly="0" labelOnly="1" outline="0" fieldPosition="0">
        <references count="1">
          <reference field="4294967294" count="1">
            <x v="0"/>
          </reference>
        </references>
      </pivotArea>
    </format>
    <format dxfId="561">
      <pivotArea outline="0" collapsedLevelsAreSubtotals="1" fieldPosition="0">
        <references count="1">
          <reference field="4294967294" count="1" selected="0">
            <x v="0"/>
          </reference>
        </references>
      </pivotArea>
    </format>
    <format dxfId="560">
      <pivotArea dataOnly="0" labelOnly="1" outline="0" fieldPosition="0">
        <references count="1">
          <reference field="4294967294" count="1">
            <x v="0"/>
          </reference>
        </references>
      </pivotArea>
    </format>
    <format dxfId="559">
      <pivotArea dataOnly="0" labelOnly="1" outline="0" fieldPosition="0">
        <references count="1">
          <reference field="4294967294" count="4">
            <x v="0"/>
            <x v="1"/>
            <x v="2"/>
            <x v="3"/>
          </reference>
        </references>
      </pivotArea>
    </format>
    <format dxfId="558">
      <pivotArea dataOnly="0" labelOnly="1" outline="0" fieldPosition="0">
        <references count="1">
          <reference field="4294967294" count="4">
            <x v="0"/>
            <x v="1"/>
            <x v="2"/>
            <x v="3"/>
          </reference>
        </references>
      </pivotArea>
    </format>
    <format dxfId="557">
      <pivotArea dataOnly="0" labelOnly="1" outline="0" fieldPosition="0">
        <references count="1">
          <reference field="4294967294" count="1">
            <x v="6"/>
          </reference>
        </references>
      </pivotArea>
    </format>
    <format dxfId="556">
      <pivotArea dataOnly="0" labelOnly="1" outline="0" fieldPosition="0">
        <references count="1">
          <reference field="4294967294" count="1">
            <x v="6"/>
          </reference>
        </references>
      </pivotArea>
    </format>
    <format dxfId="555">
      <pivotArea outline="0" collapsedLevelsAreSubtotals="1" fieldPosition="0">
        <references count="1">
          <reference field="4294967294" count="1" selected="0">
            <x v="6"/>
          </reference>
        </references>
      </pivotArea>
    </format>
    <format dxfId="554">
      <pivotArea dataOnly="0" labelOnly="1" outline="0" fieldPosition="0">
        <references count="1">
          <reference field="4294967294" count="1">
            <x v="7"/>
          </reference>
        </references>
      </pivotArea>
    </format>
    <format dxfId="553">
      <pivotArea collapsedLevelsAreSubtotals="1" fieldPosition="0">
        <references count="2">
          <reference field="4294967294" count="1" selected="0">
            <x v="7"/>
          </reference>
          <reference field="4" count="1">
            <x v="0"/>
          </reference>
        </references>
      </pivotArea>
    </format>
    <format dxfId="552">
      <pivotArea outline="0" collapsedLevelsAreSubtotals="1" fieldPosition="0">
        <references count="1">
          <reference field="4294967294" count="2" selected="0">
            <x v="6"/>
            <x v="7"/>
          </reference>
        </references>
      </pivotArea>
    </format>
    <format dxfId="551">
      <pivotArea dataOnly="0" labelOnly="1" outline="0" fieldPosition="0">
        <references count="1">
          <reference field="4294967294" count="2">
            <x v="6"/>
            <x v="7"/>
          </reference>
        </references>
      </pivotArea>
    </format>
    <format dxfId="550">
      <pivotArea outline="0" collapsedLevelsAreSubtotals="1" fieldPosition="0">
        <references count="1">
          <reference field="4294967294" count="2" selected="0">
            <x v="6"/>
            <x v="7"/>
          </reference>
        </references>
      </pivotArea>
    </format>
    <format dxfId="549">
      <pivotArea dataOnly="0" labelOnly="1" outline="0" fieldPosition="0">
        <references count="1">
          <reference field="4294967294" count="2">
            <x v="6"/>
            <x v="7"/>
          </reference>
        </references>
      </pivotArea>
    </format>
    <format dxfId="548">
      <pivotArea outline="0" collapsedLevelsAreSubtotals="1" fieldPosition="0">
        <references count="1">
          <reference field="4294967294" count="1" selected="0">
            <x v="4"/>
          </reference>
        </references>
      </pivotArea>
    </format>
    <format dxfId="547">
      <pivotArea dataOnly="0" labelOnly="1" outline="0" fieldPosition="0">
        <references count="1">
          <reference field="4294967294" count="1">
            <x v="4"/>
          </reference>
        </references>
      </pivotArea>
    </format>
    <format dxfId="546">
      <pivotArea dataOnly="0" labelOnly="1" outline="0" fieldPosition="0">
        <references count="1">
          <reference field="4294967294" count="1">
            <x v="4"/>
          </reference>
        </references>
      </pivotArea>
    </format>
    <format dxfId="545">
      <pivotArea dataOnly="0" labelOnly="1" outline="0" fieldPosition="0">
        <references count="1">
          <reference field="4294967294" count="1">
            <x v="4"/>
          </reference>
        </references>
      </pivotArea>
    </format>
    <format dxfId="544">
      <pivotArea dataOnly="0" labelOnly="1" outline="0" fieldPosition="0">
        <references count="1">
          <reference field="4294967294" count="1">
            <x v="5"/>
          </reference>
        </references>
      </pivotArea>
    </format>
    <format dxfId="543">
      <pivotArea outline="0" collapsedLevelsAreSubtotals="1" fieldPosition="0">
        <references count="1">
          <reference field="4294967294" count="1" selected="0">
            <x v="5"/>
          </reference>
        </references>
      </pivotArea>
    </format>
    <format dxfId="542">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44"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46:D49" firstHeaderRow="0" firstDataRow="1" firstDataCol="1" rowPageCount="2" colPageCount="1"/>
  <pivotFields count="122">
    <pivotField axis="axisRow" subtotalTop="0" multipleItemSelectionAllowed="1" showAll="0">
      <items count="25">
        <item m="1" x="22"/>
        <item m="1" x="8"/>
        <item h="1" m="1" x="15"/>
        <item h="1" m="1" x="2"/>
        <item m="1" x="23"/>
        <item m="1" x="4"/>
        <item h="1" m="1" x="21"/>
        <item h="1" m="1" x="17"/>
        <item h="1" m="1" x="19"/>
        <item m="1" x="20"/>
        <item m="1" x="11"/>
        <item h="1" m="1" x="13"/>
        <item m="1" x="18"/>
        <item h="1" m="1" x="16"/>
        <item m="1" x="6"/>
        <item m="1" x="9"/>
        <item m="1" x="12"/>
        <item m="1" x="14"/>
        <item m="1" x="3"/>
        <item m="1" x="5"/>
        <item m="1" x="7"/>
        <item m="1" x="10"/>
        <item x="0"/>
        <item x="1"/>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2"/>
    </i>
    <i>
      <x v="23"/>
    </i>
    <i t="grand">
      <x/>
    </i>
  </rowItems>
  <colFields count="1">
    <field x="-2"/>
  </colFields>
  <colItems count="2">
    <i>
      <x/>
    </i>
    <i i="1">
      <x v="1"/>
    </i>
  </colItems>
  <pageFields count="2">
    <pageField fld="104"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251">
      <pivotArea field="4" type="button" dataOnly="0" labelOnly="1" outline="0"/>
    </format>
    <format dxfId="250">
      <pivotArea type="all" dataOnly="0" outline="0" fieldPosition="0"/>
    </format>
    <format dxfId="249">
      <pivotArea outline="0" collapsedLevelsAreSubtotals="1" fieldPosition="0"/>
    </format>
    <format dxfId="248">
      <pivotArea field="4" type="button" dataOnly="0" labelOnly="1" outline="0"/>
    </format>
    <format dxfId="247">
      <pivotArea type="all" dataOnly="0" outline="0" fieldPosition="0"/>
    </format>
    <format dxfId="246">
      <pivotArea type="all" dataOnly="0" outline="0" fieldPosition="0"/>
    </format>
    <format dxfId="245">
      <pivotArea outline="0" collapsedLevelsAreSubtotals="1" fieldPosition="0"/>
    </format>
    <format dxfId="244">
      <pivotArea field="4" type="button" dataOnly="0" labelOnly="1" outline="0"/>
    </format>
    <format dxfId="243">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Hygiene Coverage" fld="115" baseField="0" baseItem="0" numFmtId="1"/>
    <dataField name="  % Hygiene Gap" fld="114" baseField="0" baseItem="0" numFmtId="1"/>
  </dataFields>
  <formats count="11">
    <format dxfId="262">
      <pivotArea type="all" dataOnly="0" outline="0" fieldPosition="0"/>
    </format>
    <format dxfId="261">
      <pivotArea outline="0" collapsedLevelsAreSubtotals="1" fieldPosition="0"/>
    </format>
    <format dxfId="260">
      <pivotArea field="4" type="button" dataOnly="0" labelOnly="1" outline="0" axis="axisPage" fieldPosition="2"/>
    </format>
    <format dxfId="259">
      <pivotArea type="all" dataOnly="0" outline="0" fieldPosition="0"/>
    </format>
    <format dxfId="258">
      <pivotArea outline="0" collapsedLevelsAreSubtotals="1" fieldPosition="0"/>
    </format>
    <format dxfId="257">
      <pivotArea outline="0" collapsedLevelsAreSubtotals="1" fieldPosition="0"/>
    </format>
    <format dxfId="256">
      <pivotArea field="5" type="button" dataOnly="0" labelOnly="1" outline="0" axis="axisRow" fieldPosition="0"/>
    </format>
    <format dxfId="255">
      <pivotArea field="5" type="button" dataOnly="0" labelOnly="1" outline="0" axis="axisRow" fieldPosition="0"/>
    </format>
    <format dxfId="254">
      <pivotArea field="5" type="button" dataOnly="0" labelOnly="1" outline="0" axis="axisRow" fieldPosition="0"/>
    </format>
    <format dxfId="253">
      <pivotArea field="4" type="button" dataOnly="0" labelOnly="1" outline="0" axis="axisPage" fieldPosition="2"/>
    </format>
    <format dxfId="252">
      <pivotArea dataOnly="0" labelOnly="1" outline="0" fieldPosition="0">
        <references count="2">
          <reference field="4" count="1">
            <x v="0"/>
          </reference>
          <reference field="104"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0"/>
        <item x="1"/>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65"/>
  </colFields>
  <colItems count="2">
    <i>
      <x/>
    </i>
    <i>
      <x v="1"/>
    </i>
  </colItems>
  <pageFields count="3">
    <pageField fld="0" hier="-1"/>
    <pageField fld="104" item="0" hier="-1"/>
    <pageField fld="6" hier="-1"/>
  </pageFields>
  <dataFields count="1">
    <dataField name="Count of Warter quality test done" fld="65" subtotal="count" baseField="0" baseItem="0"/>
  </dataFields>
  <formats count="8">
    <format dxfId="270">
      <pivotArea field="4" type="button" dataOnly="0" labelOnly="1" outline="0" axis="axisRow" fieldPosition="0"/>
    </format>
    <format dxfId="269">
      <pivotArea type="all" dataOnly="0" outline="0" fieldPosition="0"/>
    </format>
    <format dxfId="268">
      <pivotArea outline="0" collapsedLevelsAreSubtotals="1" fieldPosition="0"/>
    </format>
    <format dxfId="267">
      <pivotArea field="4" type="button" dataOnly="0" labelOnly="1" outline="0" axis="axisRow" fieldPosition="0"/>
    </format>
    <format dxfId="266">
      <pivotArea dataOnly="0" labelOnly="1" fieldPosition="0">
        <references count="1">
          <reference field="4" count="0"/>
        </references>
      </pivotArea>
    </format>
    <format dxfId="265">
      <pivotArea type="all" dataOnly="0" outline="0" fieldPosition="0"/>
    </format>
    <format dxfId="264">
      <pivotArea outline="0" collapsedLevelsAreSubtotals="1" fieldPosition="0"/>
    </format>
    <format dxfId="263">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F132:G133" firstHeaderRow="0" firstDataRow="1" firstDataCol="0" rowPageCount="2"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Sum of # of Total_People with disabilities" fld="107" baseField="0" baseItem="0"/>
    <dataField name="Sum of #_of_PWD_with_adapted_sanitation_option" fld="36" baseField="0" baseItem="0"/>
  </dataFields>
  <formats count="9">
    <format dxfId="279">
      <pivotArea type="all" dataOnly="0" outline="0" fieldPosition="0"/>
    </format>
    <format dxfId="278">
      <pivotArea outline="0" collapsedLevelsAreSubtotals="1" fieldPosition="0"/>
    </format>
    <format dxfId="277">
      <pivotArea type="origin" dataOnly="0" labelOnly="1" outline="0" fieldPosition="0"/>
    </format>
    <format dxfId="276">
      <pivotArea type="topRight" dataOnly="0" labelOnly="1" outline="0" fieldPosition="0"/>
    </format>
    <format dxfId="275">
      <pivotArea field="4" type="button" dataOnly="0" labelOnly="1" outline="0"/>
    </format>
    <format dxfId="274">
      <pivotArea dataOnly="0" labelOnly="1" grandRow="1" outline="0" fieldPosition="0"/>
    </format>
    <format dxfId="273">
      <pivotArea dataOnly="0" labelOnly="1" grandCol="1" outline="0" fieldPosition="0"/>
    </format>
    <format dxfId="272">
      <pivotArea type="all" dataOnly="0" outline="0" fieldPosition="0"/>
    </format>
    <format dxfId="271">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44"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78:L300" firstHeaderRow="0" firstDataRow="1" firstDataCol="4" rowPageCount="1" colPageCount="1"/>
  <pivotFields count="122">
    <pivotField axis="axisPage" compact="0" outline="0" subtotalTop="0" multipleItemSelectionAllowed="1" showAll="0" defaultSubtotal="0">
      <items count="24">
        <item m="1" x="22"/>
        <item m="1" x="8"/>
        <item m="1" x="23"/>
        <item m="1" x="15"/>
        <item m="1" x="4"/>
        <item m="1" x="2"/>
        <item m="1" x="21"/>
        <item m="1" x="17"/>
        <item m="1" x="19"/>
        <item m="1" x="20"/>
        <item m="1" x="11"/>
        <item m="1" x="13"/>
        <item m="1" x="18"/>
        <item m="1" x="16"/>
        <item h="1" m="1" x="6"/>
        <item h="1" m="1" x="9"/>
        <item h="1" m="1" x="12"/>
        <item m="1" x="14"/>
        <item h="1" m="1" x="3"/>
        <item h="1" m="1" x="5"/>
        <item h="1" m="1" x="7"/>
        <item m="1" x="10"/>
        <item h="1"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49" outline="0" showAll="0"/>
    <pivotField compact="0" numFmtId="49"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99"/>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69" subtotal="average" baseField="85" baseItem="1" numFmtId="9"/>
    <dataField name="% LATRINE GAP" fld="80" subtotal="average" baseField="85" baseItem="1" numFmtId="9"/>
    <dataField name="% HYGIENE GAP" fld="88" subtotal="average" baseField="85" baseItem="1" numFmtId="9"/>
  </dataFields>
  <formats count="48">
    <format dxfId="327">
      <pivotArea type="all" dataOnly="0" outline="0" fieldPosition="0"/>
    </format>
    <format dxfId="326">
      <pivotArea outline="0" collapsedLevelsAreSubtotals="1" fieldPosition="0"/>
    </format>
    <format dxfId="325">
      <pivotArea field="4" type="button" dataOnly="0" labelOnly="1" outline="0" axis="axisRow" fieldPosition="0"/>
    </format>
    <format dxfId="324">
      <pivotArea dataOnly="0" labelOnly="1" grandRow="1" outline="0" fieldPosition="0"/>
    </format>
    <format dxfId="323">
      <pivotArea type="all" dataOnly="0" outline="0" fieldPosition="0"/>
    </format>
    <format dxfId="322">
      <pivotArea dataOnly="0" labelOnly="1" grandRow="1" outline="0" fieldPosition="0"/>
    </format>
    <format dxfId="321">
      <pivotArea type="all" dataOnly="0" outline="0" fieldPosition="0"/>
    </format>
    <format dxfId="320">
      <pivotArea type="origin" dataOnly="0" labelOnly="1" outline="0" fieldPosition="0"/>
    </format>
    <format dxfId="319">
      <pivotArea field="104" type="button" dataOnly="0" labelOnly="1" outline="0"/>
    </format>
    <format dxfId="318">
      <pivotArea type="topRight" dataOnly="0" labelOnly="1" outline="0" fieldPosition="0"/>
    </format>
    <format dxfId="317">
      <pivotArea type="all" dataOnly="0" outline="0" fieldPosition="0"/>
    </format>
    <format dxfId="316">
      <pivotArea outline="0" collapsedLevelsAreSubtotals="1" fieldPosition="0"/>
    </format>
    <format dxfId="315">
      <pivotArea type="origin" dataOnly="0" labelOnly="1" outline="0" fieldPosition="0"/>
    </format>
    <format dxfId="314">
      <pivotArea field="104" type="button" dataOnly="0" labelOnly="1" outline="0"/>
    </format>
    <format dxfId="313">
      <pivotArea type="topRight" dataOnly="0" labelOnly="1" outline="0" fieldPosition="0"/>
    </format>
    <format dxfId="312">
      <pivotArea outline="0" fieldPosition="0">
        <references count="1">
          <reference field="4294967294" count="3" selected="0">
            <x v="3"/>
            <x v="4"/>
            <x v="5"/>
          </reference>
        </references>
      </pivotArea>
    </format>
    <format dxfId="311">
      <pivotArea outline="0" fieldPosition="0">
        <references count="1">
          <reference field="4294967294" count="2" selected="0">
            <x v="1"/>
            <x v="2"/>
          </reference>
        </references>
      </pivotArea>
    </format>
    <format dxfId="310">
      <pivotArea type="all" dataOnly="0" outline="0" fieldPosition="0"/>
    </format>
    <format dxfId="309">
      <pivotArea outline="0" collapsedLevelsAreSubtotals="1" fieldPosition="0"/>
    </format>
    <format dxfId="308">
      <pivotArea field="4" type="button" dataOnly="0" labelOnly="1" outline="0" axis="axisRow" fieldPosition="0"/>
    </format>
    <format dxfId="307">
      <pivotArea field="5" type="button" dataOnly="0" labelOnly="1" outline="0" axis="axisRow" fieldPosition="1"/>
    </format>
    <format dxfId="306">
      <pivotArea field="7" type="button" dataOnly="0" labelOnly="1" outline="0" axis="axisRow" fieldPosition="2"/>
    </format>
    <format dxfId="305">
      <pivotArea field="99" type="button" dataOnly="0" labelOnly="1" outline="0" axis="axisRow" fieldPosition="3"/>
    </format>
    <format dxfId="304">
      <pivotArea dataOnly="0" labelOnly="1" outline="0" fieldPosition="0">
        <references count="1">
          <reference field="4" count="0"/>
        </references>
      </pivotArea>
    </format>
    <format dxfId="303">
      <pivotArea dataOnly="0" labelOnly="1" outline="0" fieldPosition="0">
        <references count="1">
          <reference field="4" count="0" defaultSubtotal="1"/>
        </references>
      </pivotArea>
    </format>
    <format dxfId="302">
      <pivotArea dataOnly="0" labelOnly="1" outline="0" fieldPosition="0">
        <references count="2">
          <reference field="4" count="1" selected="0">
            <x v="0"/>
          </reference>
          <reference field="5" count="8">
            <x v="1"/>
            <x v="12"/>
            <x v="17"/>
            <x v="18"/>
            <x v="28"/>
            <x v="31"/>
            <x v="33"/>
            <x v="35"/>
          </reference>
        </references>
      </pivotArea>
    </format>
    <format dxfId="301">
      <pivotArea dataOnly="0" labelOnly="1" outline="0" fieldPosition="0">
        <references count="2">
          <reference field="4" count="1" selected="0">
            <x v="1"/>
          </reference>
          <reference field="5" count="7">
            <x v="8"/>
            <x v="9"/>
            <x v="15"/>
            <x v="19"/>
            <x v="27"/>
            <x v="30"/>
            <x v="32"/>
          </reference>
        </references>
      </pivotArea>
    </format>
    <format dxfId="300">
      <pivotArea dataOnly="0" labelOnly="1" outline="0" fieldPosition="0">
        <references count="2">
          <reference field="4" count="1" selected="0">
            <x v="2"/>
          </reference>
          <reference field="5" count="4">
            <x v="6"/>
            <x v="7"/>
            <x v="13"/>
            <x v="20"/>
          </reference>
        </references>
      </pivotArea>
    </format>
    <format dxfId="299">
      <pivotArea dataOnly="0" labelOnly="1" outline="0" fieldPosition="0">
        <references count="3">
          <reference field="4" count="1" selected="0">
            <x v="0"/>
          </reference>
          <reference field="5" count="1" selected="0">
            <x v="1"/>
          </reference>
          <reference field="7" count="1">
            <x v="47"/>
          </reference>
        </references>
      </pivotArea>
    </format>
    <format dxfId="298">
      <pivotArea dataOnly="0" labelOnly="1" outline="0" fieldPosition="0">
        <references count="3">
          <reference field="4" count="1" selected="0">
            <x v="0"/>
          </reference>
          <reference field="5" count="1" selected="0">
            <x v="12"/>
          </reference>
          <reference field="7" count="2">
            <x v="256"/>
            <x v="262"/>
          </reference>
        </references>
      </pivotArea>
    </format>
    <format dxfId="297">
      <pivotArea dataOnly="0" labelOnly="1" outline="0" fieldPosition="0">
        <references count="3">
          <reference field="4" count="1" selected="0">
            <x v="0"/>
          </reference>
          <reference field="5" count="1" selected="0">
            <x v="17"/>
          </reference>
          <reference field="7" count="2">
            <x v="110"/>
            <x v="282"/>
          </reference>
        </references>
      </pivotArea>
    </format>
    <format dxfId="296">
      <pivotArea dataOnly="0" labelOnly="1" outline="0" fieldPosition="0">
        <references count="3">
          <reference field="4" count="1" selected="0">
            <x v="0"/>
          </reference>
          <reference field="5" count="1" selected="0">
            <x v="18"/>
          </reference>
          <reference field="7" count="3">
            <x v="154"/>
            <x v="284"/>
            <x v="299"/>
          </reference>
        </references>
      </pivotArea>
    </format>
    <format dxfId="295">
      <pivotArea dataOnly="0" labelOnly="1" outline="0" fieldPosition="0">
        <references count="3">
          <reference field="4" count="1" selected="0">
            <x v="0"/>
          </reference>
          <reference field="5" count="1" selected="0">
            <x v="28"/>
          </reference>
          <reference field="7" count="2">
            <x v="125"/>
            <x v="529"/>
          </reference>
        </references>
      </pivotArea>
    </format>
    <format dxfId="294">
      <pivotArea dataOnly="0" labelOnly="1" outline="0" fieldPosition="0">
        <references count="3">
          <reference field="4" count="1" selected="0">
            <x v="0"/>
          </reference>
          <reference field="5" count="1" selected="0">
            <x v="31"/>
          </reference>
          <reference field="7" count="1">
            <x v="205"/>
          </reference>
        </references>
      </pivotArea>
    </format>
    <format dxfId="293">
      <pivotArea dataOnly="0" labelOnly="1" outline="0" fieldPosition="0">
        <references count="3">
          <reference field="4" count="1" selected="0">
            <x v="0"/>
          </reference>
          <reference field="5" count="1" selected="0">
            <x v="33"/>
          </reference>
          <reference field="7" count="1">
            <x v="466"/>
          </reference>
        </references>
      </pivotArea>
    </format>
    <format dxfId="292">
      <pivotArea dataOnly="0" labelOnly="1" outline="0" fieldPosition="0">
        <references count="3">
          <reference field="4" count="1" selected="0">
            <x v="0"/>
          </reference>
          <reference field="5" count="1" selected="0">
            <x v="35"/>
          </reference>
          <reference field="7" count="1">
            <x v="100"/>
          </reference>
        </references>
      </pivotArea>
    </format>
    <format dxfId="291">
      <pivotArea dataOnly="0" labelOnly="1" outline="0" fieldPosition="0">
        <references count="3">
          <reference field="4" count="1" selected="0">
            <x v="1"/>
          </reference>
          <reference field="5" count="1" selected="0">
            <x v="8"/>
          </reference>
          <reference field="7" count="1">
            <x v="132"/>
          </reference>
        </references>
      </pivotArea>
    </format>
    <format dxfId="290">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289">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288">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287">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286">
      <pivotArea dataOnly="0" labelOnly="1" outline="0" fieldPosition="0">
        <references count="3">
          <reference field="4" count="1" selected="0">
            <x v="1"/>
          </reference>
          <reference field="5" count="1" selected="0">
            <x v="30"/>
          </reference>
          <reference field="7" count="3">
            <x v="19"/>
            <x v="351"/>
            <x v="352"/>
          </reference>
        </references>
      </pivotArea>
    </format>
    <format dxfId="285">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284">
      <pivotArea dataOnly="0" labelOnly="1" outline="0" fieldPosition="0">
        <references count="3">
          <reference field="4" count="1" selected="0">
            <x v="2"/>
          </reference>
          <reference field="5" count="1" selected="0">
            <x v="6"/>
          </reference>
          <reference field="7" count="1">
            <x v="248"/>
          </reference>
        </references>
      </pivotArea>
    </format>
    <format dxfId="283">
      <pivotArea dataOnly="0" labelOnly="1" outline="0" fieldPosition="0">
        <references count="3">
          <reference field="4" count="1" selected="0">
            <x v="2"/>
          </reference>
          <reference field="5" count="1" selected="0">
            <x v="7"/>
          </reference>
          <reference field="7" count="1">
            <x v="372"/>
          </reference>
        </references>
      </pivotArea>
    </format>
    <format dxfId="282">
      <pivotArea dataOnly="0" labelOnly="1" outline="0" fieldPosition="0">
        <references count="3">
          <reference field="4" count="1" selected="0">
            <x v="2"/>
          </reference>
          <reference field="5" count="1" selected="0">
            <x v="13"/>
          </reference>
          <reference field="7" count="1">
            <x v="250"/>
          </reference>
        </references>
      </pivotArea>
    </format>
    <format dxfId="281">
      <pivotArea dataOnly="0" labelOnly="1" outline="0" fieldPosition="0">
        <references count="3">
          <reference field="4" count="1" selected="0">
            <x v="2"/>
          </reference>
          <reference field="5" count="1" selected="0">
            <x v="20"/>
          </reference>
          <reference field="7" count="1">
            <x v="111"/>
          </reference>
        </references>
      </pivotArea>
    </format>
    <format dxfId="280">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33:D135" firstHeaderRow="1" firstDataRow="2" firstDataCol="1" rowPageCount="3"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39"/>
  </colFields>
  <colItems count="2">
    <i>
      <x v="1"/>
    </i>
    <i>
      <x v="2"/>
    </i>
  </colItems>
  <pageFields count="3">
    <pageField fld="0" hier="-1"/>
    <pageField fld="104" item="0" hier="-1"/>
    <pageField fld="6" hier="-1"/>
  </pageFields>
  <dataFields count="1">
    <dataField name="Count of Is_there_an_effective_solid_waste_management_system_in_place?" fld="39" subtotal="count" baseField="0" baseItem="0"/>
  </dataFields>
  <formats count="9">
    <format dxfId="336">
      <pivotArea type="all" dataOnly="0" outline="0" fieldPosition="0"/>
    </format>
    <format dxfId="335">
      <pivotArea outline="0" collapsedLevelsAreSubtotals="1" fieldPosition="0"/>
    </format>
    <format dxfId="334">
      <pivotArea type="origin" dataOnly="0" labelOnly="1" outline="0" fieldPosition="0"/>
    </format>
    <format dxfId="333">
      <pivotArea type="topRight" dataOnly="0" labelOnly="1" outline="0" fieldPosition="0"/>
    </format>
    <format dxfId="332">
      <pivotArea field="4" type="button" dataOnly="0" labelOnly="1" outline="0" axis="axisRow" fieldPosition="0"/>
    </format>
    <format dxfId="331">
      <pivotArea dataOnly="0" labelOnly="1" grandRow="1" outline="0" fieldPosition="0"/>
    </format>
    <format dxfId="330">
      <pivotArea dataOnly="0" labelOnly="1" grandCol="1" outline="0" fieldPosition="0"/>
    </format>
    <format dxfId="329">
      <pivotArea type="all" dataOnly="0" outline="0" fieldPosition="0"/>
    </format>
    <format dxfId="328">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0">
  <location ref="P121:R125" firstHeaderRow="0" firstDataRow="1" firstDataCol="1" rowPageCount="3"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04" hier="-1"/>
  </pageFields>
  <dataFields count="2">
    <dataField name="Target (20:1)" fld="78" baseField="0" baseItem="0"/>
    <dataField name="Reached" fld="28" baseField="6" baseItem="0"/>
  </dataFields>
  <formats count="12">
    <format dxfId="348">
      <pivotArea field="4" type="button" dataOnly="0" labelOnly="1" outline="0" axis="axisPage" fieldPosition="1"/>
    </format>
    <format dxfId="347">
      <pivotArea type="all" dataOnly="0" outline="0" fieldPosition="0"/>
    </format>
    <format dxfId="346">
      <pivotArea outline="0" collapsedLevelsAreSubtotals="1" fieldPosition="0"/>
    </format>
    <format dxfId="345">
      <pivotArea type="origin" dataOnly="0" labelOnly="1" outline="0" fieldPosition="0"/>
    </format>
    <format dxfId="344">
      <pivotArea type="topRight" dataOnly="0" labelOnly="1" outline="0" fieldPosition="0"/>
    </format>
    <format dxfId="343">
      <pivotArea field="-2" type="button" dataOnly="0" labelOnly="1" outline="0" axis="axisCol" fieldPosition="0"/>
    </format>
    <format dxfId="342">
      <pivotArea type="all" dataOnly="0" outline="0" fieldPosition="0"/>
    </format>
    <format dxfId="341">
      <pivotArea outline="0" collapsedLevelsAreSubtotals="1" fieldPosition="0"/>
    </format>
    <format dxfId="340">
      <pivotArea dataOnly="0" labelOnly="1" outline="0" fieldPosition="0">
        <references count="1">
          <reference field="4294967294" count="1">
            <x v="0"/>
          </reference>
        </references>
      </pivotArea>
    </format>
    <format dxfId="339">
      <pivotArea field="4" type="button" dataOnly="0" labelOnly="1" outline="0" axis="axisPage" fieldPosition="1"/>
    </format>
    <format dxfId="338">
      <pivotArea dataOnly="0" labelOnly="1" outline="0" fieldPosition="0">
        <references count="1">
          <reference field="4" count="1">
            <x v="1"/>
          </reference>
        </references>
      </pivotArea>
    </format>
    <format dxfId="337">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44"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46:R49" firstHeaderRow="0" firstDataRow="1" firstDataCol="1" rowPageCount="2" colPageCount="1"/>
  <pivotFields count="122">
    <pivotField axis="axisRow" subtotalTop="0" multipleItemSelectionAllowed="1" showAll="0">
      <items count="25">
        <item m="1" x="22"/>
        <item m="1" x="8"/>
        <item h="1" m="1" x="15"/>
        <item h="1" m="1" x="2"/>
        <item m="1" x="23"/>
        <item m="1" x="4"/>
        <item h="1" m="1" x="21"/>
        <item h="1" m="1" x="17"/>
        <item h="1" m="1" x="19"/>
        <item m="1" x="20"/>
        <item m="1" x="11"/>
        <item h="1" m="1" x="13"/>
        <item m="1" x="18"/>
        <item h="1" m="1" x="16"/>
        <item m="1" x="6"/>
        <item m="1" x="9"/>
        <item m="1" x="12"/>
        <item m="1" x="14"/>
        <item m="1" x="3"/>
        <item m="1" x="5"/>
        <item m="1" x="7"/>
        <item m="1" x="10"/>
        <item x="0"/>
        <item x="1"/>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2"/>
    </i>
    <i>
      <x v="23"/>
    </i>
    <i t="grand">
      <x/>
    </i>
  </rowItems>
  <colFields count="1">
    <field x="-2"/>
  </colFields>
  <colItems count="2">
    <i>
      <x/>
    </i>
    <i i="1">
      <x v="1"/>
    </i>
  </colItems>
  <pageFields count="2">
    <pageField fld="104" hier="-1"/>
    <pageField fld="6" hier="-1"/>
  </pageFields>
  <dataFields count="2">
    <dataField name="Sum of #_Water samples_Tested_at_HH2" fld="22" baseField="4" baseItem="4"/>
    <dataField name="Average of %_Water samples _passed_at_HH" fld="23" subtotal="average" baseField="4" baseItem="1" numFmtId="9"/>
  </dataFields>
  <formats count="9">
    <format dxfId="357">
      <pivotArea field="4" type="button" dataOnly="0" labelOnly="1" outline="0"/>
    </format>
    <format dxfId="356">
      <pivotArea type="all" dataOnly="0" outline="0" fieldPosition="0"/>
    </format>
    <format dxfId="355">
      <pivotArea outline="0" collapsedLevelsAreSubtotals="1" fieldPosition="0"/>
    </format>
    <format dxfId="354">
      <pivotArea field="4" type="button" dataOnly="0" labelOnly="1" outline="0"/>
    </format>
    <format dxfId="353">
      <pivotArea type="all" dataOnly="0" outline="0" fieldPosition="0"/>
    </format>
    <format dxfId="352">
      <pivotArea type="all" dataOnly="0" outline="0" fieldPosition="0"/>
    </format>
    <format dxfId="351">
      <pivotArea outline="0" collapsedLevelsAreSubtotals="1" fieldPosition="0"/>
    </format>
    <format dxfId="350">
      <pivotArea field="4" type="button" dataOnly="0" labelOnly="1" outline="0"/>
    </format>
    <format dxfId="349">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44"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15" firstHeaderRow="0" firstDataRow="1" firstDataCol="1" rowPageCount="4" colPageCount="1"/>
  <pivotFields count="122">
    <pivotField axis="axisPage" subtotalTop="0" showAll="0">
      <items count="25">
        <item m="1" x="22"/>
        <item m="1" x="8"/>
        <item m="1" x="15"/>
        <item m="1" x="2"/>
        <item m="1" x="23"/>
        <item m="1" x="4"/>
        <item m="1" x="21"/>
        <item m="1" x="17"/>
        <item m="1" x="19"/>
        <item m="1" x="20"/>
        <item m="1" x="11"/>
        <item n="2019 Q2" m="1" x="13"/>
        <item m="1" x="18"/>
        <item m="1" x="16"/>
        <item m="1" x="6"/>
        <item m="1" x="9"/>
        <item m="1" x="12"/>
        <item m="1" x="14"/>
        <item m="1" x="3"/>
        <item m="1" x="5"/>
        <item m="1" x="7"/>
        <item m="1" x="10"/>
        <item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axis="axisPage" multipleItemSelectionAllowed="1" showAll="0" defaultSubtotal="0">
      <items count="11">
        <item x="0"/>
        <item m="1" x="2"/>
        <item m="1" x="9"/>
        <item m="1" x="8"/>
        <item h="1" m="1" x="1"/>
        <item h="1" m="1" x="4"/>
        <item h="1" m="1" x="3"/>
        <item h="1" m="1" x="5"/>
        <item m="1" x="7"/>
        <item h="1" m="1" x="10"/>
        <item h="1" m="1" x="6"/>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3" hier="-1"/>
    <pageField fld="104" hier="-1"/>
    <pageField fld="4" hier="-1"/>
    <pageField fld="6" hier="-1"/>
  </pageFields>
  <dataFields count="5">
    <dataField name="# of sites" fld="7" subtotal="count" baseField="0" baseItem="0"/>
    <dataField name="PoP " fld="9" baseField="0" baseItem="0" numFmtId="164"/>
    <dataField name=" % Water GAP" fld="117" baseField="0" baseItem="0" numFmtId="9"/>
    <dataField name=" % Sanitation GAP" fld="119" baseField="5" baseItem="23" numFmtId="9"/>
    <dataField name=" % Hygiene Gap" fld="114" baseField="0" baseItem="0" numFmtId="9"/>
  </dataFields>
  <formats count="40">
    <format dxfId="397">
      <pivotArea type="all" dataOnly="0" outline="0" fieldPosition="0"/>
    </format>
    <format dxfId="396">
      <pivotArea outline="0" collapsedLevelsAreSubtotals="1" fieldPosition="0"/>
    </format>
    <format dxfId="395">
      <pivotArea field="5" type="button" dataOnly="0" labelOnly="1" outline="0" axis="axisRow" fieldPosition="0"/>
    </format>
    <format dxfId="394">
      <pivotArea dataOnly="0" labelOnly="1" outline="0" axis="axisValues" fieldPosition="0"/>
    </format>
    <format dxfId="393">
      <pivotArea dataOnly="0" labelOnly="1" fieldPosition="0">
        <references count="1">
          <reference field="5" count="0"/>
        </references>
      </pivotArea>
    </format>
    <format dxfId="392">
      <pivotArea dataOnly="0" labelOnly="1" grandRow="1" outline="0" fieldPosition="0"/>
    </format>
    <format dxfId="391">
      <pivotArea dataOnly="0" labelOnly="1" outline="0" axis="axisValues" fieldPosition="0"/>
    </format>
    <format dxfId="390">
      <pivotArea type="all" dataOnly="0" outline="0" fieldPosition="0"/>
    </format>
    <format dxfId="389">
      <pivotArea field="5" type="button" dataOnly="0" labelOnly="1" outline="0" axis="axisRow" fieldPosition="0"/>
    </format>
    <format dxfId="388">
      <pivotArea dataOnly="0" labelOnly="1" outline="0" axis="axisValues" fieldPosition="0"/>
    </format>
    <format dxfId="387">
      <pivotArea dataOnly="0" labelOnly="1" fieldPosition="0">
        <references count="1">
          <reference field="5" count="0"/>
        </references>
      </pivotArea>
    </format>
    <format dxfId="386">
      <pivotArea dataOnly="0" labelOnly="1" outline="0" axis="axisValues" fieldPosition="0"/>
    </format>
    <format dxfId="385">
      <pivotArea field="5" type="button" dataOnly="0" labelOnly="1" outline="0" axis="axisRow" fieldPosition="0"/>
    </format>
    <format dxfId="384">
      <pivotArea type="all" dataOnly="0" outline="0" fieldPosition="0"/>
    </format>
    <format dxfId="383">
      <pivotArea field="5" type="button" dataOnly="0" labelOnly="1" outline="0" axis="axisRow" fieldPosition="0"/>
    </format>
    <format dxfId="382">
      <pivotArea dataOnly="0" labelOnly="1" outline="0" fieldPosition="0">
        <references count="1">
          <reference field="4294967294" count="1">
            <x v="1"/>
          </reference>
        </references>
      </pivotArea>
    </format>
    <format dxfId="381">
      <pivotArea type="all" dataOnly="0" outline="0" fieldPosition="0"/>
    </format>
    <format dxfId="380">
      <pivotArea outline="0" collapsedLevelsAreSubtotals="1" fieldPosition="0"/>
    </format>
    <format dxfId="379">
      <pivotArea field="5" type="button" dataOnly="0" labelOnly="1" outline="0" axis="axisRow" fieldPosition="0"/>
    </format>
    <format dxfId="378">
      <pivotArea dataOnly="0" labelOnly="1" fieldPosition="0">
        <references count="1">
          <reference field="5" count="2">
            <x v="30"/>
            <x v="36"/>
          </reference>
        </references>
      </pivotArea>
    </format>
    <format dxfId="377">
      <pivotArea dataOnly="0" labelOnly="1" outline="0" fieldPosition="0">
        <references count="1">
          <reference field="4294967294" count="1">
            <x v="1"/>
          </reference>
        </references>
      </pivotArea>
    </format>
    <format dxfId="376">
      <pivotArea field="5" type="button" dataOnly="0" labelOnly="1" outline="0" axis="axisRow" fieldPosition="0"/>
    </format>
    <format dxfId="375">
      <pivotArea dataOnly="0" labelOnly="1" outline="0" fieldPosition="0">
        <references count="1">
          <reference field="4294967294" count="1">
            <x v="1"/>
          </reference>
        </references>
      </pivotArea>
    </format>
    <format dxfId="374">
      <pivotArea type="all" dataOnly="0" outline="0" fieldPosition="0"/>
    </format>
    <format dxfId="373">
      <pivotArea outline="0" collapsedLevelsAreSubtotals="1" fieldPosition="0"/>
    </format>
    <format dxfId="372">
      <pivotArea field="5" type="button" dataOnly="0" labelOnly="1" outline="0" axis="axisRow" fieldPosition="0"/>
    </format>
    <format dxfId="371">
      <pivotArea dataOnly="0" labelOnly="1" fieldPosition="0">
        <references count="1">
          <reference field="5" count="5">
            <x v="9"/>
            <x v="10"/>
            <x v="23"/>
            <x v="30"/>
            <x v="36"/>
          </reference>
        </references>
      </pivotArea>
    </format>
    <format dxfId="370">
      <pivotArea dataOnly="0" labelOnly="1" grandRow="1" outline="0" fieldPosition="0"/>
    </format>
    <format dxfId="369">
      <pivotArea dataOnly="0" labelOnly="1" outline="0" fieldPosition="0">
        <references count="1">
          <reference field="4294967294" count="1">
            <x v="1"/>
          </reference>
        </references>
      </pivotArea>
    </format>
    <format dxfId="368">
      <pivotArea field="4" type="button" dataOnly="0" labelOnly="1" outline="0" axis="axisPage" fieldPosition="2"/>
    </format>
    <format dxfId="367">
      <pivotArea dataOnly="0" labelOnly="1" outline="0" fieldPosition="0">
        <references count="2">
          <reference field="0" count="1" selected="0">
            <x v="7"/>
          </reference>
          <reference field="4" count="1">
            <x v="1"/>
          </reference>
        </references>
      </pivotArea>
    </format>
    <format dxfId="366">
      <pivotArea outline="0" collapsedLevelsAreSubtotals="1" fieldPosition="0">
        <references count="1">
          <reference field="4294967294" count="1" selected="0">
            <x v="1"/>
          </reference>
        </references>
      </pivotArea>
    </format>
    <format dxfId="365">
      <pivotArea dataOnly="0" labelOnly="1" outline="0" fieldPosition="0">
        <references count="2">
          <reference field="0" count="1" selected="0">
            <x v="8"/>
          </reference>
          <reference field="4" count="1">
            <x v="1"/>
          </reference>
        </references>
      </pivotArea>
    </format>
    <format dxfId="364">
      <pivotArea dataOnly="0" labelOnly="1" outline="0" fieldPosition="0">
        <references count="2">
          <reference field="0" count="1" selected="0">
            <x v="9"/>
          </reference>
          <reference field="4" count="1">
            <x v="1"/>
          </reference>
        </references>
      </pivotArea>
    </format>
    <format dxfId="363">
      <pivotArea dataOnly="0" labelOnly="1" outline="0" fieldPosition="0">
        <references count="2">
          <reference field="0" count="1" selected="0">
            <x v="10"/>
          </reference>
          <reference field="4" count="0"/>
        </references>
      </pivotArea>
    </format>
    <format dxfId="362">
      <pivotArea outline="0" collapsedLevelsAreSubtotals="1" fieldPosition="0">
        <references count="1">
          <reference field="4294967294" count="2" selected="0">
            <x v="2"/>
            <x v="3"/>
          </reference>
        </references>
      </pivotArea>
    </format>
    <format dxfId="361">
      <pivotArea outline="0" collapsedLevelsAreSubtotals="1" fieldPosition="0">
        <references count="1">
          <reference field="4294967294" count="1" selected="0">
            <x v="4"/>
          </reference>
        </references>
      </pivotArea>
    </format>
    <format dxfId="360">
      <pivotArea dataOnly="0" labelOnly="1" outline="0" fieldPosition="0">
        <references count="2">
          <reference field="0" count="1" selected="0">
            <x v="11"/>
          </reference>
          <reference field="4" count="0"/>
        </references>
      </pivotArea>
    </format>
    <format dxfId="359">
      <pivotArea collapsedLevelsAreSubtotals="1" fieldPosition="0">
        <references count="2">
          <reference field="4294967294" count="1" selected="0">
            <x v="2"/>
          </reference>
          <reference field="5" count="1">
            <x v="36"/>
          </reference>
        </references>
      </pivotArea>
    </format>
    <format dxfId="358">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44"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I10:J18" firstHeaderRow="1" firstDataRow="1" firstDataCol="2" rowPageCount="5" colPageCount="1"/>
  <pivotFields count="122">
    <pivotField axis="axisPage" compact="0" outline="0" subtotalTop="0" showAll="0" defaultSubtotal="0">
      <items count="24">
        <item m="1" x="22"/>
        <item m="1" x="8"/>
        <item m="1" x="15"/>
        <item m="1" x="2"/>
        <item m="1" x="23"/>
        <item m="1" x="4"/>
        <item m="1" x="21"/>
        <item m="1" x="17"/>
        <item m="1" x="19"/>
        <item m="1" x="20"/>
        <item m="1" x="11"/>
        <item n="2019 Q2" m="1" x="13"/>
        <item m="1" x="18"/>
        <item m="1" x="16"/>
        <item m="1" x="6"/>
        <item m="1" x="9"/>
        <item m="1" x="12"/>
        <item m="1" x="14"/>
        <item m="1" x="3"/>
        <item m="1" x="5"/>
        <item m="1" x="7"/>
        <item m="1" x="10"/>
        <item x="0"/>
        <item x="1"/>
      </items>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2"/>
        <item x="0"/>
        <item h="1" m="1" x="4"/>
        <item m="1" x="1"/>
        <item m="1" x="5"/>
        <item m="1" x="3"/>
      </items>
    </pivotField>
    <pivotField axis="axisRow" compact="0" outline="0" subtotalTop="0" showAll="0" sortType="ascending" defaultSubtotal="0">
      <items count="41">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s>
    </pivotField>
    <pivotField axis="axisPage" compact="0" outline="0" multipleItemSelectionAllowed="1" showAll="0" defaultSubtotal="0">
      <items count="11">
        <item x="0"/>
        <item m="1" x="2"/>
        <item m="1" x="9"/>
        <item m="1" x="8"/>
        <item h="1" m="1" x="1"/>
        <item h="1" m="1" x="4"/>
        <item h="1" m="1" x="3"/>
        <item h="1" m="1" x="5"/>
        <item m="1" x="7"/>
        <item h="1" m="1" x="10"/>
        <item h="1" m="1" x="6"/>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3" hier="-1"/>
    <pageField fld="104" hier="-1"/>
    <pageField fld="4" hier="-1"/>
    <pageField fld="6" hier="-1"/>
    <pageField fld="7" hier="-1"/>
  </pageFields>
  <formats count="31">
    <format dxfId="428">
      <pivotArea type="all" dataOnly="0" outline="0" fieldPosition="0"/>
    </format>
    <format dxfId="427">
      <pivotArea outline="0" collapsedLevelsAreSubtotals="1" fieldPosition="0"/>
    </format>
    <format dxfId="426">
      <pivotArea field="5" type="button" dataOnly="0" labelOnly="1" outline="0" axis="axisRow" fieldPosition="0"/>
    </format>
    <format dxfId="425">
      <pivotArea dataOnly="0" labelOnly="1" outline="0" axis="axisValues" fieldPosition="0"/>
    </format>
    <format dxfId="424">
      <pivotArea dataOnly="0" labelOnly="1" fieldPosition="0">
        <references count="1">
          <reference field="5" count="0"/>
        </references>
      </pivotArea>
    </format>
    <format dxfId="423">
      <pivotArea dataOnly="0" labelOnly="1" grandRow="1" outline="0" fieldPosition="0"/>
    </format>
    <format dxfId="422">
      <pivotArea dataOnly="0" labelOnly="1" outline="0" axis="axisValues" fieldPosition="0"/>
    </format>
    <format dxfId="421">
      <pivotArea type="all" dataOnly="0" outline="0" fieldPosition="0"/>
    </format>
    <format dxfId="420">
      <pivotArea field="5" type="button" dataOnly="0" labelOnly="1" outline="0" axis="axisRow" fieldPosition="0"/>
    </format>
    <format dxfId="419">
      <pivotArea dataOnly="0" labelOnly="1" outline="0" axis="axisValues" fieldPosition="0"/>
    </format>
    <format dxfId="418">
      <pivotArea dataOnly="0" labelOnly="1" fieldPosition="0">
        <references count="1">
          <reference field="5" count="0"/>
        </references>
      </pivotArea>
    </format>
    <format dxfId="417">
      <pivotArea dataOnly="0" labelOnly="1" outline="0" axis="axisValues" fieldPosition="0"/>
    </format>
    <format dxfId="416">
      <pivotArea field="5" type="button" dataOnly="0" labelOnly="1" outline="0" axis="axisRow" fieldPosition="0"/>
    </format>
    <format dxfId="415">
      <pivotArea type="all" dataOnly="0" outline="0" fieldPosition="0"/>
    </format>
    <format dxfId="414">
      <pivotArea field="5" type="button" dataOnly="0" labelOnly="1" outline="0" axis="axisRow" fieldPosition="0"/>
    </format>
    <format dxfId="413">
      <pivotArea type="all" dataOnly="0" outline="0" fieldPosition="0"/>
    </format>
    <format dxfId="412">
      <pivotArea outline="0" collapsedLevelsAreSubtotals="1" fieldPosition="0"/>
    </format>
    <format dxfId="411">
      <pivotArea field="5" type="button" dataOnly="0" labelOnly="1" outline="0" axis="axisRow" fieldPosition="0"/>
    </format>
    <format dxfId="410">
      <pivotArea dataOnly="0" labelOnly="1" fieldPosition="0">
        <references count="1">
          <reference field="5" count="2">
            <x v="30"/>
            <x v="36"/>
          </reference>
        </references>
      </pivotArea>
    </format>
    <format dxfId="409">
      <pivotArea field="5" type="button" dataOnly="0" labelOnly="1" outline="0" axis="axisRow" fieldPosition="0"/>
    </format>
    <format dxfId="408">
      <pivotArea type="all" dataOnly="0" outline="0" fieldPosition="0"/>
    </format>
    <format dxfId="407">
      <pivotArea outline="0" collapsedLevelsAreSubtotals="1" fieldPosition="0"/>
    </format>
    <format dxfId="406">
      <pivotArea field="5" type="button" dataOnly="0" labelOnly="1" outline="0" axis="axisRow" fieldPosition="0"/>
    </format>
    <format dxfId="405">
      <pivotArea dataOnly="0" labelOnly="1" fieldPosition="0">
        <references count="1">
          <reference field="5" count="5">
            <x v="9"/>
            <x v="10"/>
            <x v="23"/>
            <x v="30"/>
            <x v="36"/>
          </reference>
        </references>
      </pivotArea>
    </format>
    <format dxfId="404">
      <pivotArea dataOnly="0" labelOnly="1" grandRow="1" outline="0" fieldPosition="0"/>
    </format>
    <format dxfId="403">
      <pivotArea field="4" type="button" dataOnly="0" labelOnly="1" outline="0" axis="axisPage" fieldPosition="2"/>
    </format>
    <format dxfId="402">
      <pivotArea dataOnly="0" labelOnly="1" outline="0" fieldPosition="0">
        <references count="2">
          <reference field="0" count="1" selected="0">
            <x v="7"/>
          </reference>
          <reference field="4" count="1">
            <x v="1"/>
          </reference>
        </references>
      </pivotArea>
    </format>
    <format dxfId="401">
      <pivotArea dataOnly="0" labelOnly="1" outline="0" fieldPosition="0">
        <references count="2">
          <reference field="0" count="1" selected="0">
            <x v="8"/>
          </reference>
          <reference field="4" count="1">
            <x v="1"/>
          </reference>
        </references>
      </pivotArea>
    </format>
    <format dxfId="400">
      <pivotArea dataOnly="0" labelOnly="1" outline="0" fieldPosition="0">
        <references count="2">
          <reference field="0" count="1" selected="0">
            <x v="9"/>
          </reference>
          <reference field="4" count="1">
            <x v="1"/>
          </reference>
        </references>
      </pivotArea>
    </format>
    <format dxfId="399">
      <pivotArea dataOnly="0" labelOnly="1" outline="0" fieldPosition="0">
        <references count="2">
          <reference field="0" count="1" selected="0">
            <x v="10"/>
          </reference>
          <reference field="4" count="0"/>
        </references>
      </pivotArea>
    </format>
    <format dxfId="398">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44"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A4:N25" firstHeaderRow="0" firstDataRow="1" firstDataCol="1" rowPageCount="1" colPageCount="1"/>
  <pivotFields count="122">
    <pivotField subtotalTop="0" showAll="0" defaultSubtotal="0"/>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1">
    <pageField fld="104" item="0" hier="-1"/>
  </pageFields>
  <dataFields count="13">
    <dataField name="Max of Total PoP " fld="9" subtotal="max" baseField="7" baseItem="30" numFmtId="3"/>
    <dataField name="Max of HRP1" fld="67" subtotal="max" baseField="7" baseItem="30"/>
    <dataField name="Max of HRP2" fld="74" subtotal="max" baseField="7" baseItem="30"/>
    <dataField name="Max of HRP3" fld="86" subtotal="max" baseField="7" baseItem="30"/>
    <dataField name="Max of HRP4" fld="93" subtotal="max" baseField="7" baseItem="30"/>
    <dataField name="Max of HRP5" fld="94" subtotal="max" baseField="7" baseItem="30"/>
    <dataField name="Max of HRP6" fld="95" subtotal="max" baseField="7" baseItem="30"/>
    <dataField name="Max of hygiene items" fld="85" subtotal="max" baseField="7" baseItem="30"/>
    <dataField name="Max of # people reached by regular dedicated hygiene promotion_5" fld="8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76" subtotal="max" baseField="7" baseItem="30"/>
    <dataField name="Max of # people access to functioning latrines in THF_HRP6" fld="77" subtotal="max" baseField="7" baseItem="30"/>
  </dataFields>
  <formats count="54">
    <format dxfId="541">
      <pivotArea field="4" type="button" dataOnly="0" labelOnly="1" outline="0"/>
    </format>
    <format dxfId="540">
      <pivotArea type="all" dataOnly="0" outline="0" fieldPosition="0"/>
    </format>
    <format dxfId="539">
      <pivotArea field="4" type="button" dataOnly="0" labelOnly="1" outline="0"/>
    </format>
    <format dxfId="538">
      <pivotArea outline="0" fieldPosition="0">
        <references count="1">
          <reference field="4294967294" count="1">
            <x v="0"/>
          </reference>
        </references>
      </pivotArea>
    </format>
    <format dxfId="537">
      <pivotArea dataOnly="0" labelOnly="1" outline="0" fieldPosition="0">
        <references count="1">
          <reference field="4294967294" count="1">
            <x v="0"/>
          </reference>
        </references>
      </pivotArea>
    </format>
    <format dxfId="536">
      <pivotArea type="all" dataOnly="0" outline="0" fieldPosition="0"/>
    </format>
    <format dxfId="535">
      <pivotArea outline="0" collapsedLevelsAreSubtotals="1" fieldPosition="0"/>
    </format>
    <format dxfId="534">
      <pivotArea dataOnly="0" labelOnly="1" grandRow="1" outline="0" fieldPosition="0"/>
    </format>
    <format dxfId="533">
      <pivotArea dataOnly="0" labelOnly="1" outline="0" fieldPosition="0">
        <references count="1">
          <reference field="4294967294" count="1">
            <x v="0"/>
          </reference>
        </references>
      </pivotArea>
    </format>
    <format dxfId="532">
      <pivotArea type="all" dataOnly="0" outline="0" fieldPosition="0"/>
    </format>
    <format dxfId="531">
      <pivotArea outline="0" collapsedLevelsAreSubtotals="1" fieldPosition="0"/>
    </format>
    <format dxfId="530">
      <pivotArea dataOnly="0" labelOnly="1" grandRow="1" outline="0" fieldPosition="0"/>
    </format>
    <format dxfId="529">
      <pivotArea dataOnly="0" labelOnly="1" outline="0" fieldPosition="0">
        <references count="1">
          <reference field="4294967294" count="1">
            <x v="0"/>
          </reference>
        </references>
      </pivotArea>
    </format>
    <format dxfId="528">
      <pivotArea outline="0" collapsedLevelsAreSubtotals="1" fieldPosition="0"/>
    </format>
    <format dxfId="527">
      <pivotArea outline="0" collapsedLevelsAreSubtotals="1" fieldPosition="0">
        <references count="1">
          <reference field="4294967294" count="1" selected="0">
            <x v="1"/>
          </reference>
        </references>
      </pivotArea>
    </format>
    <format dxfId="526">
      <pivotArea dataOnly="0" labelOnly="1" outline="0" fieldPosition="0">
        <references count="1">
          <reference field="4294967294" count="1">
            <x v="1"/>
          </reference>
        </references>
      </pivotArea>
    </format>
    <format dxfId="525">
      <pivotArea outline="0" collapsedLevelsAreSubtotals="1" fieldPosition="0">
        <references count="1">
          <reference field="4294967294" count="1" selected="0">
            <x v="1"/>
          </reference>
        </references>
      </pivotArea>
    </format>
    <format dxfId="524">
      <pivotArea dataOnly="0" labelOnly="1" outline="0" fieldPosition="0">
        <references count="1">
          <reference field="4294967294" count="1">
            <x v="1"/>
          </reference>
        </references>
      </pivotArea>
    </format>
    <format dxfId="523">
      <pivotArea outline="0" collapsedLevelsAreSubtotals="1" fieldPosition="0">
        <references count="1">
          <reference field="4294967294" count="1" selected="0">
            <x v="2"/>
          </reference>
        </references>
      </pivotArea>
    </format>
    <format dxfId="522">
      <pivotArea dataOnly="0" labelOnly="1" outline="0" fieldPosition="0">
        <references count="1">
          <reference field="4294967294" count="1">
            <x v="2"/>
          </reference>
        </references>
      </pivotArea>
    </format>
    <format dxfId="521">
      <pivotArea outline="0" collapsedLevelsAreSubtotals="1" fieldPosition="0">
        <references count="1">
          <reference field="4294967294" count="1" selected="0">
            <x v="2"/>
          </reference>
        </references>
      </pivotArea>
    </format>
    <format dxfId="520">
      <pivotArea dataOnly="0" labelOnly="1" outline="0" fieldPosition="0">
        <references count="1">
          <reference field="4294967294" count="1">
            <x v="2"/>
          </reference>
        </references>
      </pivotArea>
    </format>
    <format dxfId="519">
      <pivotArea outline="0" collapsedLevelsAreSubtotals="1" fieldPosition="0">
        <references count="1">
          <reference field="4294967294" count="1" selected="0">
            <x v="3"/>
          </reference>
        </references>
      </pivotArea>
    </format>
    <format dxfId="518">
      <pivotArea dataOnly="0" labelOnly="1" outline="0" fieldPosition="0">
        <references count="1">
          <reference field="4294967294" count="1">
            <x v="3"/>
          </reference>
        </references>
      </pivotArea>
    </format>
    <format dxfId="517">
      <pivotArea outline="0" collapsedLevelsAreSubtotals="1" fieldPosition="0">
        <references count="1">
          <reference field="4294967294" count="1" selected="0">
            <x v="3"/>
          </reference>
        </references>
      </pivotArea>
    </format>
    <format dxfId="516">
      <pivotArea dataOnly="0" labelOnly="1" outline="0" fieldPosition="0">
        <references count="1">
          <reference field="4294967294" count="1">
            <x v="3"/>
          </reference>
        </references>
      </pivotArea>
    </format>
    <format dxfId="515">
      <pivotArea outline="0" collapsedLevelsAreSubtotals="1" fieldPosition="0">
        <references count="1">
          <reference field="4294967294" count="1" selected="0">
            <x v="0"/>
          </reference>
        </references>
      </pivotArea>
    </format>
    <format dxfId="514">
      <pivotArea dataOnly="0" labelOnly="1" outline="0" fieldPosition="0">
        <references count="1">
          <reference field="4294967294" count="1">
            <x v="0"/>
          </reference>
        </references>
      </pivotArea>
    </format>
    <format dxfId="513">
      <pivotArea outline="0" collapsedLevelsAreSubtotals="1" fieldPosition="0">
        <references count="1">
          <reference field="4294967294" count="1" selected="0">
            <x v="0"/>
          </reference>
        </references>
      </pivotArea>
    </format>
    <format dxfId="512">
      <pivotArea dataOnly="0" labelOnly="1" outline="0" fieldPosition="0">
        <references count="1">
          <reference field="4294967294" count="1">
            <x v="0"/>
          </reference>
        </references>
      </pivotArea>
    </format>
    <format dxfId="511">
      <pivotArea dataOnly="0" labelOnly="1" outline="0" fieldPosition="0">
        <references count="1">
          <reference field="4294967294" count="4">
            <x v="0"/>
            <x v="1"/>
            <x v="2"/>
            <x v="3"/>
          </reference>
        </references>
      </pivotArea>
    </format>
    <format dxfId="510">
      <pivotArea dataOnly="0" labelOnly="1" outline="0" fieldPosition="0">
        <references count="1">
          <reference field="4294967294" count="4">
            <x v="0"/>
            <x v="1"/>
            <x v="2"/>
            <x v="3"/>
          </reference>
        </references>
      </pivotArea>
    </format>
    <format dxfId="509">
      <pivotArea dataOnly="0" labelOnly="1" outline="0" fieldPosition="0">
        <references count="1">
          <reference field="4294967294" count="1">
            <x v="7"/>
          </reference>
        </references>
      </pivotArea>
    </format>
    <format dxfId="508">
      <pivotArea dataOnly="0" labelOnly="1" outline="0" fieldPosition="0">
        <references count="1">
          <reference field="4294967294" count="1">
            <x v="7"/>
          </reference>
        </references>
      </pivotArea>
    </format>
    <format dxfId="507">
      <pivotArea outline="0" collapsedLevelsAreSubtotals="1" fieldPosition="0">
        <references count="1">
          <reference field="4294967294" count="1" selected="0">
            <x v="7"/>
          </reference>
        </references>
      </pivotArea>
    </format>
    <format dxfId="506">
      <pivotArea dataOnly="0" labelOnly="1" outline="0" fieldPosition="0">
        <references count="1">
          <reference field="4294967294" count="1">
            <x v="8"/>
          </reference>
        </references>
      </pivotArea>
    </format>
    <format dxfId="505">
      <pivotArea outline="0" collapsedLevelsAreSubtotals="1" fieldPosition="0">
        <references count="1">
          <reference field="4294967294" count="2" selected="0">
            <x v="7"/>
            <x v="8"/>
          </reference>
        </references>
      </pivotArea>
    </format>
    <format dxfId="504">
      <pivotArea dataOnly="0" labelOnly="1" outline="0" fieldPosition="0">
        <references count="1">
          <reference field="4294967294" count="2">
            <x v="7"/>
            <x v="8"/>
          </reference>
        </references>
      </pivotArea>
    </format>
    <format dxfId="503">
      <pivotArea outline="0" collapsedLevelsAreSubtotals="1" fieldPosition="0">
        <references count="1">
          <reference field="4294967294" count="2" selected="0">
            <x v="7"/>
            <x v="8"/>
          </reference>
        </references>
      </pivotArea>
    </format>
    <format dxfId="502">
      <pivotArea dataOnly="0" labelOnly="1" outline="0" fieldPosition="0">
        <references count="1">
          <reference field="4294967294" count="2">
            <x v="7"/>
            <x v="8"/>
          </reference>
        </references>
      </pivotArea>
    </format>
    <format dxfId="501">
      <pivotArea outline="0" collapsedLevelsAreSubtotals="1" fieldPosition="0">
        <references count="1">
          <reference field="4294967294" count="1" selected="0">
            <x v="4"/>
          </reference>
        </references>
      </pivotArea>
    </format>
    <format dxfId="500">
      <pivotArea dataOnly="0" labelOnly="1" outline="0" fieldPosition="0">
        <references count="1">
          <reference field="4294967294" count="1">
            <x v="4"/>
          </reference>
        </references>
      </pivotArea>
    </format>
    <format dxfId="499">
      <pivotArea dataOnly="0" labelOnly="1" outline="0" fieldPosition="0">
        <references count="1">
          <reference field="4294967294" count="1">
            <x v="4"/>
          </reference>
        </references>
      </pivotArea>
    </format>
    <format dxfId="498">
      <pivotArea dataOnly="0" labelOnly="1" outline="0" fieldPosition="0">
        <references count="1">
          <reference field="4294967294" count="1">
            <x v="4"/>
          </reference>
        </references>
      </pivotArea>
    </format>
    <format dxfId="497">
      <pivotArea dataOnly="0" labelOnly="1" outline="0" fieldPosition="0">
        <references count="1">
          <reference field="4294967294" count="1">
            <x v="5"/>
          </reference>
        </references>
      </pivotArea>
    </format>
    <format dxfId="496">
      <pivotArea outline="0" collapsedLevelsAreSubtotals="1" fieldPosition="0">
        <references count="1">
          <reference field="4294967294" count="1" selected="0">
            <x v="5"/>
          </reference>
        </references>
      </pivotArea>
    </format>
    <format dxfId="495">
      <pivotArea dataOnly="0" labelOnly="1" outline="0" fieldPosition="0">
        <references count="1">
          <reference field="4294967294" count="1">
            <x v="5"/>
          </reference>
        </references>
      </pivotArea>
    </format>
    <format dxfId="494">
      <pivotArea dataOnly="0" labelOnly="1" outline="0" fieldPosition="0">
        <references count="1">
          <reference field="4294967294" count="8">
            <x v="0"/>
            <x v="1"/>
            <x v="2"/>
            <x v="3"/>
            <x v="4"/>
            <x v="5"/>
            <x v="7"/>
            <x v="8"/>
          </reference>
        </references>
      </pivotArea>
    </format>
    <format dxfId="493">
      <pivotArea dataOnly="0" labelOnly="1" outline="0" fieldPosition="0">
        <references count="1">
          <reference field="4294967294" count="1">
            <x v="11"/>
          </reference>
        </references>
      </pivotArea>
    </format>
    <format dxfId="492">
      <pivotArea dataOnly="0" labelOnly="1" outline="0" fieldPosition="0">
        <references count="1">
          <reference field="4294967294" count="1">
            <x v="6"/>
          </reference>
        </references>
      </pivotArea>
    </format>
    <format dxfId="491">
      <pivotArea dataOnly="0" labelOnly="1" outline="0" fieldPosition="0">
        <references count="1">
          <reference field="4294967294" count="1">
            <x v="11"/>
          </reference>
        </references>
      </pivotArea>
    </format>
    <format dxfId="490">
      <pivotArea dataOnly="0" labelOnly="1" outline="0" fieldPosition="0">
        <references count="1">
          <reference field="4294967294" count="1">
            <x v="9"/>
          </reference>
        </references>
      </pivotArea>
    </format>
    <format dxfId="489">
      <pivotArea dataOnly="0" labelOnly="1" outline="0" fieldPosition="0">
        <references count="1">
          <reference field="4294967294" count="1">
            <x v="10"/>
          </reference>
        </references>
      </pivotArea>
    </format>
    <format dxfId="488">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P102:S106" firstHeaderRow="0" firstDataRow="1" firstDataCol="1" rowPageCount="3"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04" hier="-1"/>
  </pageFields>
  <dataFields count="3">
    <dataField name="# latrines (target)" fld="78" baseField="0" baseItem="0"/>
    <dataField name="Sum of #_Functional_adult_latrines" fld="28" baseField="6" baseItem="0"/>
    <dataField name="Sum of Latrines_Gap" fld="121" baseField="0" baseItem="0"/>
  </dataFields>
  <formats count="12">
    <format dxfId="440">
      <pivotArea field="4" type="button" dataOnly="0" labelOnly="1" outline="0" axis="axisPage" fieldPosition="1"/>
    </format>
    <format dxfId="439">
      <pivotArea type="all" dataOnly="0" outline="0" fieldPosition="0"/>
    </format>
    <format dxfId="438">
      <pivotArea outline="0" collapsedLevelsAreSubtotals="1" fieldPosition="0"/>
    </format>
    <format dxfId="437">
      <pivotArea type="origin" dataOnly="0" labelOnly="1" outline="0" fieldPosition="0"/>
    </format>
    <format dxfId="436">
      <pivotArea type="topRight" dataOnly="0" labelOnly="1" outline="0" fieldPosition="0"/>
    </format>
    <format dxfId="435">
      <pivotArea field="-2" type="button" dataOnly="0" labelOnly="1" outline="0" axis="axisCol" fieldPosition="0"/>
    </format>
    <format dxfId="434">
      <pivotArea type="all" dataOnly="0" outline="0" fieldPosition="0"/>
    </format>
    <format dxfId="433">
      <pivotArea outline="0" collapsedLevelsAreSubtotals="1" fieldPosition="0"/>
    </format>
    <format dxfId="432">
      <pivotArea dataOnly="0" labelOnly="1" outline="0" fieldPosition="0">
        <references count="1">
          <reference field="4294967294" count="1">
            <x v="0"/>
          </reference>
        </references>
      </pivotArea>
    </format>
    <format dxfId="431">
      <pivotArea field="4" type="button" dataOnly="0" labelOnly="1" outline="0" axis="axisPage" fieldPosition="1"/>
    </format>
    <format dxfId="430">
      <pivotArea dataOnly="0" labelOnly="1" outline="0" fieldPosition="0">
        <references count="1">
          <reference field="4" count="1">
            <x v="1"/>
          </reference>
        </references>
      </pivotArea>
    </format>
    <format dxfId="429">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44"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2:C223" firstHeaderRow="0" firstDataRow="1" firstDataCol="0" rowPageCount="2" colPageCount="1"/>
  <pivotFields count="122">
    <pivotField axis="axisPage" subtotalTop="0" multipleItemSelectionAllowed="1" showAll="0">
      <items count="25">
        <item h="1"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Average of %_of_women_and_girls_who_report_that_they_have_an_adequate_system_for_disposing_of_used_sanitary_pads" fld="47" subtotal="average" baseField="0" baseItem="1"/>
    <dataField name="Average of %_of_affected_people_who_report_handwashing_at_key_times" fld="48" subtotal="average" baseField="0" baseItem="1"/>
  </dataFields>
  <formats count="10">
    <format dxfId="450">
      <pivotArea type="all" dataOnly="0" outline="0" fieldPosition="0"/>
    </format>
    <format dxfId="449">
      <pivotArea type="all" dataOnly="0" outline="0" fieldPosition="0"/>
    </format>
    <format dxfId="448">
      <pivotArea outline="0" collapsedLevelsAreSubtotals="1" fieldPosition="0"/>
    </format>
    <format dxfId="447">
      <pivotArea field="4" type="button" dataOnly="0" labelOnly="1" outline="0"/>
    </format>
    <format dxfId="446">
      <pivotArea dataOnly="0" labelOnly="1" grandRow="1" outline="0" fieldPosition="0"/>
    </format>
    <format dxfId="445">
      <pivotArea type="all" dataOnly="0" outline="0" fieldPosition="0"/>
    </format>
    <format dxfId="444">
      <pivotArea outline="0" collapsedLevelsAreSubtotals="1" fieldPosition="0"/>
    </format>
    <format dxfId="443">
      <pivotArea field="4" type="button" dataOnly="0" labelOnly="1" outline="0"/>
    </format>
    <format dxfId="442">
      <pivotArea dataOnly="0" labelOnly="1" grandRow="1" outline="0" fieldPosition="0"/>
    </format>
    <format dxfId="441">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B317:E318" firstHeaderRow="0" firstDataRow="1" firstDataCol="1" rowPageCount="2" colPageCount="1"/>
  <pivotFields count="122">
    <pivotField axis="axisPage" subtotalTop="0" multipleItemSelectionAllowed="1" showAll="0">
      <items count="25">
        <item m="1" x="22"/>
        <item m="1" x="8"/>
        <item m="1" x="23"/>
        <item m="1" x="15"/>
        <item m="1" x="4"/>
        <item m="1" x="2"/>
        <item m="1" x="21"/>
        <item m="1" x="17"/>
        <item m="1" x="19"/>
        <item m="1" x="20"/>
        <item m="1" x="11"/>
        <item m="1" x="13"/>
        <item m="1" x="18"/>
        <item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04" hier="-1"/>
  </pageFields>
  <dataFields count="3">
    <dataField name="# of latrines in TLS/CFS" fld="37" baseField="0" baseItem="0"/>
    <dataField name="# of latrines in THF" fld="38" baseField="4" baseItem="4"/>
    <dataField name="# of functional handwashing stations in TLS/CFS" fld="49" baseField="0" baseItem="0"/>
  </dataFields>
  <formats count="18">
    <format dxfId="468">
      <pivotArea type="all" dataOnly="0" outline="0" fieldPosition="0"/>
    </format>
    <format dxfId="467">
      <pivotArea outline="0" collapsedLevelsAreSubtotals="1" fieldPosition="0"/>
    </format>
    <format dxfId="466">
      <pivotArea field="4" type="button" dataOnly="0" labelOnly="1" outline="0" axis="axisRow" fieldPosition="0"/>
    </format>
    <format dxfId="465">
      <pivotArea dataOnly="0" labelOnly="1" grandRow="1" outline="0" fieldPosition="0"/>
    </format>
    <format dxfId="464">
      <pivotArea type="all" dataOnly="0" outline="0" fieldPosition="0"/>
    </format>
    <format dxfId="463">
      <pivotArea outline="0" collapsedLevelsAreSubtotals="1" fieldPosition="0"/>
    </format>
    <format dxfId="462">
      <pivotArea type="origin" dataOnly="0" labelOnly="1" outline="0" fieldPosition="0"/>
    </format>
    <format dxfId="461">
      <pivotArea field="104" type="button" dataOnly="0" labelOnly="1" outline="0" axis="axisPage" fieldPosition="1"/>
    </format>
    <format dxfId="460">
      <pivotArea type="topRight" dataOnly="0" labelOnly="1" outline="0" fieldPosition="0"/>
    </format>
    <format dxfId="459">
      <pivotArea dataOnly="0" labelOnly="1" fieldPosition="0">
        <references count="1">
          <reference field="104" count="0"/>
        </references>
      </pivotArea>
    </format>
    <format dxfId="458">
      <pivotArea type="all" dataOnly="0" outline="0" fieldPosition="0"/>
    </format>
    <format dxfId="457">
      <pivotArea outline="0" collapsedLevelsAreSubtotals="1" fieldPosition="0"/>
    </format>
    <format dxfId="456">
      <pivotArea field="4" type="button" dataOnly="0" labelOnly="1" outline="0" axis="axisRow" fieldPosition="0"/>
    </format>
    <format dxfId="455">
      <pivotArea dataOnly="0" labelOnly="1" fieldPosition="0">
        <references count="1">
          <reference field="4" count="0"/>
        </references>
      </pivotArea>
    </format>
    <format dxfId="454">
      <pivotArea outline="0" collapsedLevelsAreSubtotals="1" fieldPosition="0"/>
    </format>
    <format dxfId="453">
      <pivotArea field="4" type="button" dataOnly="0" labelOnly="1" outline="0" axis="axisRow" fieldPosition="0"/>
    </format>
    <format dxfId="452">
      <pivotArea field="4" type="button" dataOnly="0" labelOnly="1" outline="0" axis="axisRow" fieldPosition="0"/>
    </format>
    <format dxfId="451">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4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F254:G256" firstHeaderRow="1" firstDataRow="2" firstDataCol="1" rowPageCount="2" colPageCount="1"/>
  <pivotFields count="122">
    <pivotField axis="axisPage" subtotalTop="0" multipleItemSelectionAllowed="1" showAll="0">
      <items count="25">
        <item m="1" x="22"/>
        <item m="1" x="8"/>
        <item m="1" x="23"/>
        <item m="1" x="15"/>
        <item m="1" x="4"/>
        <item m="1" x="2"/>
        <item m="1" x="21"/>
        <item m="1" x="17"/>
        <item m="1" x="19"/>
        <item m="1" x="20"/>
        <item m="1" x="11"/>
        <item m="1" x="13"/>
        <item m="1" x="18"/>
        <item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1">
        <item x="0"/>
        <item m="1" x="2"/>
        <item m="1" x="9"/>
        <item m="1" x="8"/>
        <item m="1" x="1"/>
        <item m="1" x="4"/>
        <item m="1" x="3"/>
        <item m="1" x="5"/>
        <item m="1" x="7"/>
        <item m="1" x="10"/>
        <item m="1" x="6"/>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04"/>
  </colFields>
  <colItems count="1">
    <i>
      <x/>
    </i>
  </colItems>
  <pageFields count="2">
    <pageField fld="0" hier="-1"/>
    <pageField fld="4" hier="-1"/>
  </pageFields>
  <dataFields count="1">
    <dataField name="Count of Site Name" fld="7" subtotal="count" baseField="0" baseItem="0"/>
  </dataFields>
  <formats count="19">
    <format dxfId="487">
      <pivotArea type="all" dataOnly="0" outline="0" fieldPosition="0"/>
    </format>
    <format dxfId="486">
      <pivotArea outline="0" collapsedLevelsAreSubtotals="1" fieldPosition="0"/>
    </format>
    <format dxfId="485">
      <pivotArea field="4" type="button" dataOnly="0" labelOnly="1" outline="0" axis="axisPage" fieldPosition="1"/>
    </format>
    <format dxfId="484">
      <pivotArea dataOnly="0" labelOnly="1" fieldPosition="0">
        <references count="1">
          <reference field="4" count="0"/>
        </references>
      </pivotArea>
    </format>
    <format dxfId="483">
      <pivotArea dataOnly="0" labelOnly="1" grandRow="1" outline="0" fieldPosition="0"/>
    </format>
    <format dxfId="482">
      <pivotArea dataOnly="0" labelOnly="1" outline="0" fieldPosition="0">
        <references count="1">
          <reference field="4294967294" count="1">
            <x v="0"/>
          </reference>
        </references>
      </pivotArea>
    </format>
    <format dxfId="481">
      <pivotArea type="all" dataOnly="0" outline="0" fieldPosition="0"/>
    </format>
    <format dxfId="480">
      <pivotArea outline="0" collapsedLevelsAreSubtotals="1" fieldPosition="0"/>
    </format>
    <format dxfId="479">
      <pivotArea type="origin" dataOnly="0" labelOnly="1" outline="0" fieldPosition="0"/>
    </format>
    <format dxfId="478">
      <pivotArea field="104" type="button" dataOnly="0" labelOnly="1" outline="0" axis="axisCol" fieldPosition="0"/>
    </format>
    <format dxfId="477">
      <pivotArea type="topRight" dataOnly="0" labelOnly="1" outline="0" fieldPosition="0"/>
    </format>
    <format dxfId="476">
      <pivotArea dataOnly="0" labelOnly="1" fieldPosition="0">
        <references count="1">
          <reference field="104" count="0"/>
        </references>
      </pivotArea>
    </format>
    <format dxfId="475">
      <pivotArea type="all" dataOnly="0" outline="0" fieldPosition="0"/>
    </format>
    <format dxfId="474">
      <pivotArea outline="0" collapsedLevelsAreSubtotals="1" fieldPosition="0"/>
    </format>
    <format dxfId="473">
      <pivotArea dataOnly="0" labelOnly="1" fieldPosition="0">
        <references count="1">
          <reference field="104" count="0"/>
        </references>
      </pivotArea>
    </format>
    <format dxfId="472">
      <pivotArea field="4" type="button" dataOnly="0" labelOnly="1" outline="0" axis="axisPage" fieldPosition="1"/>
    </format>
    <format dxfId="471">
      <pivotArea dataOnly="0" labelOnly="1" outline="0" fieldPosition="0">
        <references count="2">
          <reference field="0" count="1" selected="0">
            <x v="7"/>
          </reference>
          <reference field="4" count="0"/>
        </references>
      </pivotArea>
    </format>
    <format dxfId="470">
      <pivotArea dataOnly="0" labelOnly="1" outline="0" fieldPosition="0">
        <references count="2">
          <reference field="0" count="1" selected="0">
            <x v="8"/>
          </reference>
          <reference field="4" count="0"/>
        </references>
      </pivotArea>
    </format>
    <format dxfId="469">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04" count="1" selected="0">
            <x v="0"/>
          </reference>
        </references>
      </pivotArea>
    </chartFormat>
    <chartFormat chart="1" format="1" series="1">
      <pivotArea type="data" outline="0" fieldPosition="0">
        <references count="2">
          <reference field="4294967294" count="1" selected="0">
            <x v="0"/>
          </reference>
          <reference field="104" count="1" selected="0">
            <x v="1"/>
          </reference>
        </references>
      </pivotArea>
    </chartFormat>
    <chartFormat chart="9" format="8" series="1">
      <pivotArea type="data" outline="0" fieldPosition="0">
        <references count="2">
          <reference field="4294967294" count="1" selected="0">
            <x v="0"/>
          </reference>
          <reference field="104" count="1" selected="0">
            <x v="0"/>
          </reference>
        </references>
      </pivotArea>
    </chartFormat>
    <chartFormat chart="9" format="9" series="1">
      <pivotArea type="data" outline="0" fieldPosition="0">
        <references count="2">
          <reference field="4294967294" count="1" selected="0">
            <x v="0"/>
          </reference>
          <reference field="104" count="1" selected="0">
            <x v="1"/>
          </reference>
        </references>
      </pivotArea>
    </chartFormat>
    <chartFormat chart="16" format="8" series="1">
      <pivotArea type="data" outline="0" fieldPosition="0">
        <references count="2">
          <reference field="4294967294" count="1" selected="0">
            <x v="0"/>
          </reference>
          <reference field="104" count="1" selected="0">
            <x v="0"/>
          </reference>
        </references>
      </pivotArea>
    </chartFormat>
    <chartFormat chart="16" format="9" series="1">
      <pivotArea type="data" outline="0" fieldPosition="0">
        <references count="2">
          <reference field="4294967294" count="1" selected="0">
            <x v="0"/>
          </reference>
          <reference field="104"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4"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35" firstHeaderRow="0" firstDataRow="1" firstDataCol="2" rowPageCount="1" colPageCount="1"/>
  <pivotFields count="122">
    <pivotField axis="axisPage" compact="0" outline="0" multipleItemSelectionAllowed="1" showAll="0">
      <items count="25">
        <item m="1" x="21"/>
        <item m="1" x="22"/>
        <item m="1" x="8"/>
        <item m="1" x="23"/>
        <item m="1" x="15"/>
        <item m="1" x="4"/>
        <item m="1" x="2"/>
        <item m="1" x="17"/>
        <item m="1" x="19"/>
        <item m="1" x="20"/>
        <item m="1" x="11"/>
        <item m="1" x="13"/>
        <item m="1" x="18"/>
        <item m="1" x="16"/>
        <item m="1" x="6"/>
        <item m="1" x="9"/>
        <item m="1" x="12"/>
        <item m="1" x="14"/>
        <item m="1" x="3"/>
        <item m="1" x="5"/>
        <item m="1" x="7"/>
        <item m="1" x="10"/>
        <item x="0"/>
        <item x="1"/>
        <item t="default"/>
      </items>
    </pivotField>
    <pivotField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86" baseField="0" baseItem="0"/>
    <dataField name="Number of people with equitable and continuous access to safe sanitation facilities" fld="74" baseField="0" baseItem="0"/>
    <dataField name="Number of people with equitable and continuous access to sufficient quantity of domestic water" fld="67" baseField="0" baseItem="0"/>
  </dataFields>
  <formats count="25">
    <format dxfId="56">
      <pivotArea field="4" type="button" dataOnly="0" labelOnly="1" outline="0" axis="axisRow" fieldPosition="0"/>
    </format>
    <format dxfId="55">
      <pivotArea field="5" type="button" dataOnly="0" labelOnly="1" outline="0" axis="axisRow" fieldPosition="1"/>
    </format>
    <format dxfId="54">
      <pivotArea dataOnly="0" labelOnly="1" outline="0" fieldPosition="0">
        <references count="1">
          <reference field="4294967294" count="1">
            <x v="0"/>
          </reference>
        </references>
      </pivotArea>
    </format>
    <format dxfId="53">
      <pivotArea field="4" type="button" dataOnly="0" labelOnly="1" outline="0" axis="axisRow" fieldPosition="0"/>
    </format>
    <format dxfId="52">
      <pivotArea field="5" type="button" dataOnly="0" labelOnly="1" outline="0" axis="axisRow" fieldPosition="1"/>
    </format>
    <format dxfId="51">
      <pivotArea dataOnly="0" labelOnly="1" outline="0" fieldPosition="0">
        <references count="1">
          <reference field="4294967294" count="1">
            <x v="0"/>
          </reference>
        </references>
      </pivotArea>
    </format>
    <format dxfId="50">
      <pivotArea field="4" type="button" dataOnly="0" labelOnly="1" outline="0" axis="axisRow" fieldPosition="0"/>
    </format>
    <format dxfId="49">
      <pivotArea field="5" type="button" dataOnly="0" labelOnly="1" outline="0" axis="axisRow" fieldPosition="1"/>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type="all" dataOnly="0" outline="0" fieldPosition="0"/>
    </format>
    <format dxfId="44">
      <pivotArea outline="0" collapsedLevelsAreSubtotals="1" fieldPosition="0"/>
    </format>
    <format dxfId="43">
      <pivotArea field="4" type="button" dataOnly="0" labelOnly="1" outline="0" axis="axisRow" fieldPosition="0"/>
    </format>
    <format dxfId="42">
      <pivotArea field="5" type="button" dataOnly="0" labelOnly="1" outline="0" axis="axisRow" fieldPosition="1"/>
    </format>
    <format dxfId="41">
      <pivotArea dataOnly="0" labelOnly="1" outline="0" fieldPosition="0">
        <references count="1">
          <reference field="4" count="0"/>
        </references>
      </pivotArea>
    </format>
    <format dxfId="40">
      <pivotArea dataOnly="0" labelOnly="1" outline="0" fieldPosition="0">
        <references count="1">
          <reference field="4" count="0" defaultSubtotal="1"/>
        </references>
      </pivotArea>
    </format>
    <format dxfId="39">
      <pivotArea dataOnly="0" labelOnly="1" grandRow="1" outline="0" fieldPosition="0"/>
    </format>
    <format dxfId="38">
      <pivotArea dataOnly="0" labelOnly="1" outline="0" fieldPosition="0">
        <references count="2">
          <reference field="4" count="1" selected="0">
            <x v="0"/>
          </reference>
          <reference field="5" count="13">
            <x v="1"/>
            <x v="3"/>
            <x v="4"/>
            <x v="12"/>
            <x v="16"/>
            <x v="17"/>
            <x v="18"/>
            <x v="22"/>
            <x v="28"/>
            <x v="31"/>
            <x v="33"/>
            <x v="34"/>
            <x v="35"/>
          </reference>
        </references>
      </pivotArea>
    </format>
    <format dxfId="37">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6">
      <pivotArea dataOnly="0" labelOnly="1" outline="0" fieldPosition="0">
        <references count="2">
          <reference field="4" count="1" selected="0">
            <x v="1"/>
          </reference>
          <reference field="5" count="12">
            <x v="0"/>
            <x v="2"/>
            <x v="8"/>
            <x v="9"/>
            <x v="14"/>
            <x v="15"/>
            <x v="19"/>
            <x v="21"/>
            <x v="26"/>
            <x v="27"/>
            <x v="30"/>
            <x v="32"/>
          </reference>
        </references>
      </pivotArea>
    </format>
    <format dxfId="35">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4">
      <pivotArea dataOnly="0" labelOnly="1" outline="0" fieldPosition="0">
        <references count="2">
          <reference field="4" count="1" selected="0">
            <x v="2"/>
          </reference>
          <reference field="5" count="7">
            <x v="5"/>
            <x v="6"/>
            <x v="7"/>
            <x v="13"/>
            <x v="20"/>
            <x v="23"/>
            <x v="24"/>
          </reference>
        </references>
      </pivotArea>
    </format>
    <format dxfId="33">
      <pivotArea dataOnly="0" labelOnly="1" outline="0" fieldPosition="0">
        <references count="2">
          <reference field="4" count="1" selected="0">
            <x v="2"/>
          </reference>
          <reference field="5" count="7" defaultSubtotal="1">
            <x v="5"/>
            <x v="6"/>
            <x v="7"/>
            <x v="13"/>
            <x v="20"/>
            <x v="23"/>
            <x v="24"/>
          </reference>
        </references>
      </pivotArea>
    </format>
    <format dxfId="32">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44"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60" firstHeaderRow="0" firstDataRow="1" firstDataCol="1" rowPageCount="3" colPageCount="1"/>
  <pivotFields count="122">
    <pivotField axis="axisPage" compact="0" outline="0" multipleItemSelectionAllowed="1" showAll="0">
      <items count="25">
        <item m="1" x="21"/>
        <item m="1" x="22"/>
        <item m="1" x="8"/>
        <item m="1" x="23"/>
        <item m="1" x="15"/>
        <item m="1" x="4"/>
        <item m="1" x="2"/>
        <item m="1" x="17"/>
        <item m="1" x="19"/>
        <item m="1" x="20"/>
        <item m="1" x="11"/>
        <item m="1" x="13"/>
        <item m="1" x="18"/>
        <item m="1" x="16"/>
        <item h="1" m="1" x="6"/>
        <item h="1" m="1" x="9"/>
        <item h="1" m="1" x="12"/>
        <item m="1" x="14"/>
        <item h="1" m="1" x="3"/>
        <item h="1" m="1" x="5"/>
        <item h="1" m="1" x="7"/>
        <item m="1" x="10"/>
        <item h="1" x="0"/>
        <item x="1"/>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formats count="25">
    <format dxfId="31">
      <pivotArea field="4" type="button" dataOnly="0" labelOnly="1" outline="0" axis="axisPage" fieldPosition="2"/>
    </format>
    <format dxfId="30">
      <pivotArea field="5" type="button" dataOnly="0" labelOnly="1" outline="0" axis="axisPage" fieldPosition="1"/>
    </format>
    <format dxfId="29">
      <pivotArea dataOnly="0" labelOnly="1" outline="0" fieldPosition="0">
        <references count="1">
          <reference field="4294967294" count="1">
            <x v="0"/>
          </reference>
        </references>
      </pivotArea>
    </format>
    <format dxfId="28">
      <pivotArea field="4" type="button" dataOnly="0" labelOnly="1" outline="0" axis="axisPage" fieldPosition="2"/>
    </format>
    <format dxfId="27">
      <pivotArea field="5" type="button" dataOnly="0" labelOnly="1" outline="0" axis="axisPage" fieldPosition="1"/>
    </format>
    <format dxfId="26">
      <pivotArea dataOnly="0" labelOnly="1" outline="0" fieldPosition="0">
        <references count="1">
          <reference field="4294967294" count="1">
            <x v="0"/>
          </reference>
        </references>
      </pivotArea>
    </format>
    <format dxfId="25">
      <pivotArea field="4" type="button" dataOnly="0" labelOnly="1" outline="0" axis="axisPage" fieldPosition="2"/>
    </format>
    <format dxfId="24">
      <pivotArea field="5" type="button" dataOnly="0" labelOnly="1" outline="0" axis="axisPage" fieldPosition="1"/>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type="all" dataOnly="0" outline="0" fieldPosition="0"/>
    </format>
    <format dxfId="19">
      <pivotArea outline="0" collapsedLevelsAreSubtotals="1" fieldPosition="0"/>
    </format>
    <format dxfId="18">
      <pivotArea field="4" type="button" dataOnly="0" labelOnly="1" outline="0" axis="axisPage" fieldPosition="2"/>
    </format>
    <format dxfId="17">
      <pivotArea field="5" type="button" dataOnly="0" labelOnly="1" outline="0" axis="axisPage" fieldPosition="1"/>
    </format>
    <format dxfId="16">
      <pivotArea dataOnly="0" labelOnly="1" outline="0" fieldPosition="0">
        <references count="1">
          <reference field="4" count="0"/>
        </references>
      </pivotArea>
    </format>
    <format dxfId="15">
      <pivotArea dataOnly="0" labelOnly="1" outline="0" fieldPosition="0">
        <references count="1">
          <reference field="4" count="0" defaultSubtotal="1"/>
        </references>
      </pivotArea>
    </format>
    <format dxfId="14">
      <pivotArea dataOnly="0" labelOnly="1" grandRow="1" outline="0" fieldPosition="0"/>
    </format>
    <format dxfId="13">
      <pivotArea dataOnly="0" labelOnly="1" outline="0" fieldPosition="0">
        <references count="2">
          <reference field="4" count="1" selected="0">
            <x v="0"/>
          </reference>
          <reference field="5" count="13">
            <x v="1"/>
            <x v="3"/>
            <x v="4"/>
            <x v="12"/>
            <x v="16"/>
            <x v="17"/>
            <x v="18"/>
            <x v="22"/>
            <x v="28"/>
            <x v="31"/>
            <x v="33"/>
            <x v="34"/>
            <x v="35"/>
          </reference>
        </references>
      </pivotArea>
    </format>
    <format dxfId="12">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1">
      <pivotArea dataOnly="0" labelOnly="1" outline="0" fieldPosition="0">
        <references count="2">
          <reference field="4" count="1" selected="0">
            <x v="1"/>
          </reference>
          <reference field="5" count="12">
            <x v="0"/>
            <x v="2"/>
            <x v="8"/>
            <x v="9"/>
            <x v="14"/>
            <x v="15"/>
            <x v="19"/>
            <x v="21"/>
            <x v="26"/>
            <x v="27"/>
            <x v="30"/>
            <x v="32"/>
          </reference>
        </references>
      </pivotArea>
    </format>
    <format dxfId="10">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9">
      <pivotArea dataOnly="0" labelOnly="1" outline="0" fieldPosition="0">
        <references count="2">
          <reference field="4" count="1" selected="0">
            <x v="2"/>
          </reference>
          <reference field="5" count="7">
            <x v="5"/>
            <x v="6"/>
            <x v="7"/>
            <x v="13"/>
            <x v="20"/>
            <x v="23"/>
            <x v="24"/>
          </reference>
        </references>
      </pivotArea>
    </format>
    <format dxfId="8">
      <pivotArea dataOnly="0" labelOnly="1" outline="0" fieldPosition="0">
        <references count="2">
          <reference field="4" count="1" selected="0">
            <x v="2"/>
          </reference>
          <reference field="5" count="7" defaultSubtotal="1">
            <x v="5"/>
            <x v="6"/>
            <x v="7"/>
            <x v="13"/>
            <x v="20"/>
            <x v="23"/>
            <x v="24"/>
          </reference>
        </references>
      </pivotArea>
    </format>
    <format dxfId="7">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44"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68" firstHeaderRow="0" firstDataRow="1" firstDataCol="2" rowPageCount="1" colPageCount="1"/>
  <pivotFields count="122">
    <pivotField axis="axisRow" compact="0" outline="0" showAll="0">
      <items count="25">
        <item m="1" x="21"/>
        <item m="1" x="22"/>
        <item m="1" x="8"/>
        <item m="1" x="23"/>
        <item m="1" x="15"/>
        <item m="1" x="17"/>
        <item m="1" x="19"/>
        <item m="1" x="20"/>
        <item m="1" x="4"/>
        <item m="1" x="2"/>
        <item m="1" x="11"/>
        <item m="1" x="13"/>
        <item m="1" x="18"/>
        <item m="1" x="16"/>
        <item m="1" x="6"/>
        <item m="1" x="9"/>
        <item m="1" x="12"/>
        <item m="1" x="14"/>
        <item m="1" x="3"/>
        <item m="1" x="5"/>
        <item m="1" x="7"/>
        <item m="1" x="10"/>
        <item x="0"/>
        <item x="1"/>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compact="0" outline="0" showAll="0"/>
    <pivotField compact="0" outline="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0"/>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1"/>
        <item m="1" x="754"/>
        <item m="1" x="824"/>
        <item x="2"/>
        <item x="3"/>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4"/>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7"/>
        <item m="1" x="218"/>
        <item m="1" x="670"/>
        <item m="1" x="253"/>
        <item m="1" x="329"/>
        <item m="1" x="748"/>
        <item m="1" x="171"/>
        <item m="1" x="696"/>
        <item m="1" x="108"/>
        <item m="1" x="836"/>
        <item m="1" x="883"/>
        <item x="8"/>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9"/>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17"/>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8"/>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64">
    <i>
      <x v="25"/>
      <x v="22"/>
    </i>
    <i r="1">
      <x v="23"/>
    </i>
    <i t="default">
      <x v="25"/>
    </i>
    <i>
      <x v="49"/>
      <x v="22"/>
    </i>
    <i r="1">
      <x v="23"/>
    </i>
    <i t="default">
      <x v="49"/>
    </i>
    <i>
      <x v="52"/>
      <x v="22"/>
    </i>
    <i r="1">
      <x v="23"/>
    </i>
    <i t="default">
      <x v="52"/>
    </i>
    <i>
      <x v="53"/>
      <x v="22"/>
    </i>
    <i r="1">
      <x v="23"/>
    </i>
    <i t="default">
      <x v="53"/>
    </i>
    <i>
      <x v="84"/>
      <x v="22"/>
    </i>
    <i r="1">
      <x v="23"/>
    </i>
    <i t="default">
      <x v="84"/>
    </i>
    <i>
      <x v="218"/>
      <x v="22"/>
    </i>
    <i r="1">
      <x v="23"/>
    </i>
    <i t="default">
      <x v="218"/>
    </i>
    <i>
      <x v="229"/>
      <x v="22"/>
    </i>
    <i r="1">
      <x v="23"/>
    </i>
    <i t="default">
      <x v="229"/>
    </i>
    <i>
      <x v="327"/>
      <x v="22"/>
    </i>
    <i r="1">
      <x v="23"/>
    </i>
    <i t="default">
      <x v="327"/>
    </i>
    <i>
      <x v="418"/>
      <x v="22"/>
    </i>
    <i r="1">
      <x v="23"/>
    </i>
    <i t="default">
      <x v="418"/>
    </i>
    <i>
      <x v="419"/>
      <x v="22"/>
    </i>
    <i r="1">
      <x v="23"/>
    </i>
    <i t="default">
      <x v="419"/>
    </i>
    <i>
      <x v="436"/>
      <x v="22"/>
    </i>
    <i r="1">
      <x v="23"/>
    </i>
    <i t="default">
      <x v="436"/>
    </i>
    <i>
      <x v="438"/>
      <x v="22"/>
    </i>
    <i r="1">
      <x v="23"/>
    </i>
    <i t="default">
      <x v="438"/>
    </i>
    <i>
      <x v="439"/>
      <x v="22"/>
    </i>
    <i r="1">
      <x v="23"/>
    </i>
    <i t="default">
      <x v="439"/>
    </i>
    <i>
      <x v="525"/>
      <x v="22"/>
    </i>
    <i r="1">
      <x v="23"/>
    </i>
    <i t="default">
      <x v="525"/>
    </i>
    <i>
      <x v="563"/>
      <x v="22"/>
    </i>
    <i r="1">
      <x v="23"/>
    </i>
    <i t="default">
      <x v="563"/>
    </i>
    <i>
      <x v="602"/>
      <x v="22"/>
    </i>
    <i r="1">
      <x v="23"/>
    </i>
    <i t="default">
      <x v="602"/>
    </i>
    <i>
      <x v="618"/>
      <x v="22"/>
    </i>
    <i r="1">
      <x v="23"/>
    </i>
    <i t="default">
      <x v="618"/>
    </i>
    <i>
      <x v="640"/>
      <x v="22"/>
    </i>
    <i r="1">
      <x v="23"/>
    </i>
    <i t="default">
      <x v="640"/>
    </i>
    <i>
      <x v="724"/>
      <x v="22"/>
    </i>
    <i r="1">
      <x v="23"/>
    </i>
    <i t="default">
      <x v="724"/>
    </i>
    <i>
      <x v="725"/>
      <x v="22"/>
    </i>
    <i r="1">
      <x v="23"/>
    </i>
    <i t="default">
      <x v="725"/>
    </i>
    <i>
      <x v="726"/>
      <x v="22"/>
    </i>
    <i r="1">
      <x v="23"/>
    </i>
    <i t="default">
      <x v="726"/>
    </i>
    <i t="grand">
      <x/>
    </i>
  </rowItems>
  <colFields count="1">
    <field x="-2"/>
  </colFields>
  <colItems count="3">
    <i>
      <x/>
    </i>
    <i i="1">
      <x v="1"/>
    </i>
    <i i="2">
      <x v="2"/>
    </i>
  </colItems>
  <pageFields count="1">
    <pageField fld="104" hier="-1"/>
  </pageFields>
  <dataFields count="3">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30:D31" firstHeaderRow="0" firstDataRow="1"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04" hier="-1"/>
  </pageFields>
  <dataFields count="2">
    <dataField name="Coverage" fld="68" baseField="77" baseItem="1" numFmtId="1"/>
    <dataField name="Gap" fld="72" baseField="77" baseItem="1" numFmtId="1"/>
  </dataFields>
  <formats count="11">
    <format dxfId="79">
      <pivotArea type="all" dataOnly="0" outline="0" fieldPosition="0"/>
    </format>
    <format dxfId="78">
      <pivotArea outline="0" collapsedLevelsAreSubtotals="1" fieldPosition="0"/>
    </format>
    <format dxfId="77">
      <pivotArea type="all" dataOnly="0" outline="0" fieldPosition="0"/>
    </format>
    <format dxfId="76">
      <pivotArea dataOnly="0" labelOnly="1" outline="0" fieldPosition="0">
        <references count="1">
          <reference field="4294967294" count="2">
            <x v="0"/>
            <x v="1"/>
          </reference>
        </references>
      </pivotArea>
    </format>
    <format dxfId="75">
      <pivotArea outline="0" fieldPosition="0">
        <references count="1">
          <reference field="4294967294" count="1">
            <x v="0"/>
          </reference>
        </references>
      </pivotArea>
    </format>
    <format dxfId="74">
      <pivotArea outline="0" fieldPosition="0">
        <references count="1">
          <reference field="4294967294" count="1">
            <x v="1"/>
          </reference>
        </references>
      </pivotArea>
    </format>
    <format dxfId="73">
      <pivotArea type="all" dataOnly="0" outline="0" fieldPosition="0"/>
    </format>
    <format dxfId="72">
      <pivotArea outline="0" collapsedLevelsAreSubtotals="1" fieldPosition="0"/>
    </format>
    <format dxfId="71">
      <pivotArea dataOnly="0" labelOnly="1" outline="0" fieldPosition="0">
        <references count="1">
          <reference field="4294967294" count="2">
            <x v="0"/>
            <x v="1"/>
          </reference>
        </references>
      </pivotArea>
    </format>
    <format dxfId="70">
      <pivotArea field="4" type="button" dataOnly="0" labelOnly="1" outline="0" axis="axisPage" fieldPosition="1"/>
    </format>
    <format dxfId="69">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4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0" rowHeaderCaption="State">
  <location ref="K353:M358" firstHeaderRow="1" firstDataRow="2" firstDataCol="1" rowPageCount="1" colPageCount="1"/>
  <pivotFields count="122">
    <pivotField axis="axisCol" subtotalTop="0" showAll="0" sortType="ascending">
      <items count="25">
        <item m="1" x="21"/>
        <item m="1" x="22"/>
        <item m="1" x="8"/>
        <item m="1" x="23"/>
        <item m="1" x="15"/>
        <item m="1" x="17"/>
        <item m="1" x="19"/>
        <item m="1" x="20"/>
        <item m="1" x="4"/>
        <item m="1" x="11"/>
        <item m="1" x="13"/>
        <item m="1" x="16"/>
        <item m="1" x="18"/>
        <item m="1" x="6"/>
        <item m="1" x="9"/>
        <item m="1" x="12"/>
        <item m="1" x="14"/>
        <item m="1" x="3"/>
        <item m="1" x="5"/>
        <item m="1" x="7"/>
        <item m="1" x="10"/>
        <item x="0"/>
        <item x="1"/>
        <item m="1"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1"/>
    </i>
    <i>
      <x v="22"/>
    </i>
  </colItems>
  <pageFields count="1">
    <pageField fld="104" hier="-1"/>
  </pageFields>
  <dataFields count="4">
    <dataField name=" % of affected people surveyed who report feeling satistfied with the latrine design and sanitation service" fld="51" subtotal="average" baseField="0" baseItem="21"/>
    <dataField name="% of affected people surveyed who report feeling satistfied with the water point design and water service" fld="52" subtotal="average" baseField="0" baseItem="1"/>
    <dataField name="% of complaints received that result in timely corrective action and feedback to the community" fld="54" subtotal="average" baseField="10" baseItem="0"/>
    <dataField name="% of affected people surveyed who report feeling informed about the different WASH services available to them" fld="53" subtotal="average" baseField="0" baseItem="3"/>
  </dataFields>
  <formats count="17">
    <format dxfId="96">
      <pivotArea type="all" dataOnly="0" outline="0" fieldPosition="0"/>
    </format>
    <format dxfId="95">
      <pivotArea outline="0" collapsedLevelsAreSubtotals="1" fieldPosition="0"/>
    </format>
    <format dxfId="94">
      <pivotArea field="4" type="button" dataOnly="0" labelOnly="1" outline="0"/>
    </format>
    <format dxfId="93">
      <pivotArea dataOnly="0" labelOnly="1" grandRow="1" outline="0" fieldPosition="0"/>
    </format>
    <format dxfId="92">
      <pivotArea type="all" dataOnly="0" outline="0" fieldPosition="0"/>
    </format>
    <format dxfId="91">
      <pivotArea outline="0" collapsedLevelsAreSubtotals="1" fieldPosition="0"/>
    </format>
    <format dxfId="90">
      <pivotArea type="origin" dataOnly="0" labelOnly="1" outline="0" fieldPosition="0"/>
    </format>
    <format dxfId="89">
      <pivotArea field="104" type="button" dataOnly="0" labelOnly="1" outline="0" axis="axisPage" fieldPosition="0"/>
    </format>
    <format dxfId="88">
      <pivotArea type="topRight" dataOnly="0" labelOnly="1" outline="0" fieldPosition="0"/>
    </format>
    <format dxfId="87">
      <pivotArea dataOnly="0" labelOnly="1" fieldPosition="0">
        <references count="1">
          <reference field="104" count="0"/>
        </references>
      </pivotArea>
    </format>
    <format dxfId="86">
      <pivotArea type="all" dataOnly="0" outline="0" fieldPosition="0"/>
    </format>
    <format dxfId="85">
      <pivotArea outline="0" collapsedLevelsAreSubtotals="1" fieldPosition="0"/>
    </format>
    <format dxfId="84">
      <pivotArea field="4" type="button" dataOnly="0" labelOnly="1" outline="0"/>
    </format>
    <format dxfId="83">
      <pivotArea field="4" type="button" dataOnly="0" labelOnly="1" outline="0"/>
    </format>
    <format dxfId="82">
      <pivotArea field="4" type="button" dataOnly="0" labelOnly="1" outline="0"/>
    </format>
    <format dxfId="81">
      <pivotArea field="4" type="button" dataOnly="0" labelOnly="1" outline="0"/>
    </format>
    <format dxfId="80">
      <pivotArea outline="0" collapsedLevelsAreSubtotals="1" fieldPosition="0"/>
    </format>
  </formats>
  <chartFormats count="8">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42"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4" level="1">
        <member name="[WWWW].[#_Water samples_Tested_at_water_source].&amp;[1]"/>
        <member name="[WWWW].[#_Water samples_Tested_at_water_source].&amp;[2]"/>
        <member name="[WWWW].[#_Water samples_Tested_at_water_source].&amp;[4]"/>
        <member name="[WWWW].[#_Water samples_Tested_at_water_source].&amp;[8]"/>
        <member name="[WWWW].[#_Water samples_Tested_at_water_source].&amp;[10]"/>
        <member name="[WWWW].[#_Water samples_Tested_at_water_source].&amp;[14]"/>
        <member name="[WWWW].[#_Water samples_Tested_at_water_source].&amp;[21]"/>
        <member name="[WWWW].[#_Water samples_Tested_at_water_source].&amp;[36]"/>
        <member name="[WWWW].[#_Water samples_Tested_at_water_source].&amp;[46]"/>
        <member name="[WWWW].[#_Water samples_Tested_at_water_source].&amp;[66]"/>
        <member name="[WWWW].[#_Water samples_Tested_at_water_source].&amp;[68]"/>
        <member name="[WWWW].[#_Water samples_Tested_at_water_source].&amp;[88]"/>
        <member name="[WWWW].[#_Water samples_Tested_at_water_source].&amp;[91]"/>
        <member name="[WWWW].[#_Water samples_Tested_at_water_source].&amp;[23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4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22">
    <pivotField axis="axisPage" subtotalTop="0" multipleItemSelectionAllowed="1" showAll="0">
      <items count="25">
        <item m="1" x="22"/>
        <item m="1" x="8"/>
        <item h="1" m="1" x="15"/>
        <item h="1" m="1" x="2"/>
        <item m="1" x="23"/>
        <item m="1" x="4"/>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Latrine Coverage" fld="118" baseField="0" baseItem="0" numFmtId="1"/>
    <dataField name="  % Latrine GAP" fld="119" baseField="0" baseItem="0" numFmtId="1"/>
  </dataFields>
  <formats count="12">
    <format dxfId="108">
      <pivotArea type="all" dataOnly="0" outline="0" fieldPosition="0"/>
    </format>
    <format dxfId="107">
      <pivotArea outline="0" collapsedLevelsAreSubtotals="1" fieldPosition="0"/>
    </format>
    <format dxfId="106">
      <pivotArea field="4" type="button" dataOnly="0" labelOnly="1" outline="0" axis="axisPage" fieldPosition="2"/>
    </format>
    <format dxfId="105">
      <pivotArea type="all" dataOnly="0" outline="0" fieldPosition="0"/>
    </format>
    <format dxfId="104">
      <pivotArea outline="0" collapsedLevelsAreSubtotals="1" fieldPosition="0"/>
    </format>
    <format dxfId="103">
      <pivotArea outline="0" collapsedLevelsAreSubtotals="1" fieldPosition="0"/>
    </format>
    <format dxfId="102">
      <pivotArea field="5" type="button" dataOnly="0" labelOnly="1" outline="0" axis="axisRow" fieldPosition="0"/>
    </format>
    <format dxfId="101">
      <pivotArea field="5" type="button" dataOnly="0" labelOnly="1" outline="0" axis="axisRow" fieldPosition="0"/>
    </format>
    <format dxfId="100">
      <pivotArea field="5" type="button" dataOnly="0" labelOnly="1" outline="0" axis="axisRow" fieldPosition="0"/>
    </format>
    <format dxfId="99">
      <pivotArea field="4" type="button" dataOnly="0" labelOnly="1" outline="0" axis="axisPage" fieldPosition="2"/>
    </format>
    <format dxfId="98">
      <pivotArea dataOnly="0" labelOnly="1" outline="0" fieldPosition="0">
        <references count="2">
          <reference field="4" count="1">
            <x v="0"/>
          </reference>
          <reference field="104" count="1" selected="0">
            <x v="0"/>
          </reference>
        </references>
      </pivotArea>
    </format>
    <format dxfId="97">
      <pivotArea dataOnly="0" labelOnly="1" outline="0" fieldPosition="0">
        <references count="2">
          <reference field="4" count="1">
            <x v="2"/>
          </reference>
          <reference field="104"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4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16:C119" firstHeaderRow="1" firstDataRow="1" firstDataCol="1" rowPageCount="3" colPageCount="1"/>
  <pivotFields count="122">
    <pivotField axis="axisPage" subtotalTop="0" multipleItemSelectionAllowed="1" showAll="0">
      <items count="25">
        <item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04" hier="-1"/>
  </pageFields>
  <dataFields count="3">
    <dataField name="Average of %_of_Men_that_feel_safe_to_use_latrines_when_they_need_to_(or_at_day/night)'?" fld="32" subtotal="average" baseField="0" baseItem="1" numFmtId="9"/>
    <dataField name="Average of %_of_Women_that_feel_safe_to_use_latrines_when_they_need_to_(or_at_day/night)?" fld="33" subtotal="average" baseField="0" baseItem="1" numFmtId="9"/>
    <dataField name="Average of %_of_Children_that_feel_safe_to_use_latrines_when_they_need_to_(or_at_day/night)?" fld="34" subtotal="average" baseField="0" baseItem="0"/>
  </dataFields>
  <formats count="13">
    <format dxfId="121">
      <pivotArea field="4" type="button" dataOnly="0" labelOnly="1" outline="0" axis="axisPage" fieldPosition="1"/>
    </format>
    <format dxfId="120">
      <pivotArea type="all" dataOnly="0" outline="0" fieldPosition="0"/>
    </format>
    <format dxfId="119">
      <pivotArea outline="0" collapsedLevelsAreSubtotals="1" fieldPosition="0"/>
    </format>
    <format dxfId="118">
      <pivotArea type="origin" dataOnly="0" labelOnly="1" outline="0" fieldPosition="0"/>
    </format>
    <format dxfId="117">
      <pivotArea type="topRight" dataOnly="0" labelOnly="1" outline="0" fieldPosition="0"/>
    </format>
    <format dxfId="116">
      <pivotArea field="-2" type="button" dataOnly="0" labelOnly="1" outline="0" axis="axisRow" fieldPosition="0"/>
    </format>
    <format dxfId="115">
      <pivotArea type="all" dataOnly="0" outline="0" fieldPosition="0"/>
    </format>
    <format dxfId="114">
      <pivotArea outline="0" collapsedLevelsAreSubtotals="1" fieldPosition="0"/>
    </format>
    <format dxfId="113">
      <pivotArea field="4" type="button" dataOnly="0" labelOnly="1" outline="0" axis="axisPage" fieldPosition="1"/>
    </format>
    <format dxfId="112">
      <pivotArea dataOnly="0" labelOnly="1" outline="0" fieldPosition="0">
        <references count="1">
          <reference field="4" count="1">
            <x v="1"/>
          </reference>
        </references>
      </pivotArea>
    </format>
    <format dxfId="111">
      <pivotArea outline="0" collapsedLevelsAreSubtotals="1" fieldPosition="0">
        <references count="1">
          <reference field="4294967294" count="1" selected="0">
            <x v="1"/>
          </reference>
        </references>
      </pivotArea>
    </format>
    <format dxfId="110">
      <pivotArea outline="0" collapsedLevelsAreSubtotals="1" fieldPosition="0">
        <references count="1">
          <reference field="4294967294" count="1" selected="0">
            <x v="0"/>
          </reference>
        </references>
      </pivotArea>
    </format>
    <format dxfId="109">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44" dataOnRows="1"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1">
  <location ref="B236:C241" firstHeaderRow="1" firstDataRow="1" firstDataCol="1" rowPageCount="2" colPageCount="1"/>
  <pivotFields count="122">
    <pivotField axis="axisPage" subtotalTop="0" multipleItemSelectionAllowed="1" showAll="0">
      <items count="25">
        <item h="1" m="1" x="22"/>
        <item m="1" x="8"/>
        <item m="1" x="23"/>
        <item h="1" m="1" x="15"/>
        <item m="1" x="4"/>
        <item h="1" m="1" x="2"/>
        <item h="1" m="1" x="21"/>
        <item h="1" m="1" x="17"/>
        <item h="1" m="1" x="19"/>
        <item m="1" x="20"/>
        <item m="1" x="11"/>
        <item h="1" m="1" x="13"/>
        <item m="1" x="18"/>
        <item h="1" m="1" x="16"/>
        <item h="1" m="1" x="6"/>
        <item h="1" m="1" x="9"/>
        <item h="1" m="1" x="12"/>
        <item m="1" x="14"/>
        <item h="1" m="1" x="3"/>
        <item h="1" m="1" x="5"/>
        <item h="1" m="1" x="7"/>
        <item m="1" x="10"/>
        <item h="1" x="0"/>
        <item x="1"/>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49" subtotalTop="0" showAll="0"/>
    <pivotField numFmtId="49"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04" item="0" hier="-1"/>
  </pageFields>
  <dataFields count="5">
    <dataField name=" Total PoP " fld="9" baseField="0" baseItem="0"/>
    <dataField name="Men" fld="41" baseField="0" baseItem="0"/>
    <dataField name="Women" fld="42" baseField="0" baseItem="0"/>
    <dataField name="Boys" fld="43" baseField="0" baseItem="0"/>
    <dataField name="Girls" fld="44" baseField="0" baseItem="0"/>
  </dataFields>
  <formats count="10">
    <format dxfId="131">
      <pivotArea type="all" dataOnly="0" outline="0" fieldPosition="0"/>
    </format>
    <format dxfId="130">
      <pivotArea type="all" dataOnly="0" outline="0" fieldPosition="0"/>
    </format>
    <format dxfId="129">
      <pivotArea outline="0" collapsedLevelsAreSubtotals="1" fieldPosition="0"/>
    </format>
    <format dxfId="128">
      <pivotArea field="4" type="button" dataOnly="0" labelOnly="1" outline="0"/>
    </format>
    <format dxfId="127">
      <pivotArea dataOnly="0" labelOnly="1" grandRow="1" outline="0" fieldPosition="0"/>
    </format>
    <format dxfId="126">
      <pivotArea type="all" dataOnly="0" outline="0" fieldPosition="0"/>
    </format>
    <format dxfId="125">
      <pivotArea outline="0" collapsedLevelsAreSubtotals="1" fieldPosition="0"/>
    </format>
    <format dxfId="124">
      <pivotArea field="4" type="button" dataOnly="0" labelOnly="1" outline="0"/>
    </format>
    <format dxfId="123">
      <pivotArea dataOnly="0" labelOnly="1" grandRow="1" outline="0" fieldPosition="0"/>
    </format>
    <format dxfId="122">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4">
        <i x="0" s="1"/>
        <i x="1" s="1"/>
        <i x="21" s="1" nd="1"/>
        <i x="22" s="1" nd="1"/>
        <i x="8" s="1" nd="1"/>
        <i x="23" s="1" nd="1"/>
        <i x="15" s="1" nd="1"/>
        <i x="17" s="1" nd="1"/>
        <i x="19" s="1" nd="1"/>
        <i x="20" s="1" nd="1"/>
        <i x="4" s="1" nd="1"/>
        <i x="11" s="1" nd="1"/>
        <i x="13" s="1" nd="1"/>
        <i x="16" s="1" nd="1"/>
        <i x="18" s="1" nd="1"/>
        <i x="6" s="1" nd="1"/>
        <i x="9" s="1" nd="1"/>
        <i x="12" s="1" nd="1"/>
        <i x="14" s="1" nd="1"/>
        <i x="3" s="1" nd="1"/>
        <i x="5" s="1" nd="1"/>
        <i x="7" s="1" nd="1"/>
        <i x="10"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3" s="1"/>
        <i x="2" s="1"/>
        <i x="1" s="1"/>
        <i x="5" s="1"/>
        <i x="4" s="1"/>
        <i x="0"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J48" totalsRowShown="0" headerRowDxfId="853" dataDxfId="851" headerRowBorderDxfId="852" tableBorderDxfId="850">
  <autoFilter ref="A6:DJ48" xr:uid="{23917FB6-1E4B-42E0-8567-35AD7236E729}">
    <filterColumn colId="0">
      <filters>
        <filter val="2022_Q2"/>
      </filters>
    </filterColumn>
  </autoFilter>
  <sortState xmlns:xlrd2="http://schemas.microsoft.com/office/spreadsheetml/2017/richdata2" ref="A28:DJ48">
    <sortCondition ref="H35:H48"/>
  </sortState>
  <tableColumns count="114">
    <tableColumn id="1" xr3:uid="{00000000-0010-0000-0000-000001000000}" name="Reporting Period" dataDxfId="849" totalsRowDxfId="848"/>
    <tableColumn id="75" xr3:uid="{00000000-0010-0000-0000-00004B000000}" name="WASH project agency" dataDxfId="847" totalsRowDxfId="846"/>
    <tableColumn id="2" xr3:uid="{00000000-0010-0000-0000-000002000000}" name="WASH implementing agency" dataDxfId="845" totalsRowDxfId="844"/>
    <tableColumn id="8" xr3:uid="{00000000-0010-0000-0000-000008000000}" name="Primary Donor covering WASH activities at site " dataDxfId="843" totalsRowDxfId="842"/>
    <tableColumn id="3" xr3:uid="{00000000-0010-0000-0000-000003000000}" name="State" dataDxfId="841" totalsRowDxfId="840"/>
    <tableColumn id="4" xr3:uid="{00000000-0010-0000-0000-000004000000}" name="Township" dataDxfId="839" totalsRowDxfId="838"/>
    <tableColumn id="82" xr3:uid="{00000000-0010-0000-0000-000052000000}" name="Location Type" dataDxfId="837" totalsRowDxfId="836" dataCellStyle="Percent"/>
    <tableColumn id="5" xr3:uid="{00000000-0010-0000-0000-000005000000}" name="Site Name" dataDxfId="835"/>
    <tableColumn id="6" xr3:uid="{00000000-0010-0000-0000-000006000000}" name="Total HH" dataDxfId="834" totalsRowDxfId="833" dataCellStyle="Comma"/>
    <tableColumn id="7" xr3:uid="{00000000-0010-0000-0000-000007000000}" name="Total PoP " dataDxfId="832" totalsRowDxfId="831" dataCellStyle="Comma"/>
    <tableColumn id="92" xr3:uid="{19E9142A-082A-4AC7-9DF4-1557FD7B55D0}" name="Pop_per_HH" dataDxfId="830" totalsRowDxfId="829" dataCellStyle="Comma">
      <calculatedColumnFormula>WWWW[[#This Row],[Total PoP ]]/WWWW[[#This Row],[Total HH]]</calculatedColumnFormula>
    </tableColumn>
    <tableColumn id="77" xr3:uid="{00000000-0010-0000-0000-00004D000000}" name="Project start date" dataDxfId="828" totalsRowDxfId="827"/>
    <tableColumn id="9" xr3:uid="{00000000-0010-0000-0000-000009000000}" name="Project end date" dataDxfId="826" totalsRowDxfId="825"/>
    <tableColumn id="104" xr3:uid="{00000000-0010-0000-0000-000068000000}" name="#_students at TLS_CFS" dataDxfId="824" totalsRowDxfId="823" dataCellStyle="Comma"/>
    <tableColumn id="14" xr3:uid="{00000000-0010-0000-0000-00000E000000}" name="#_Functional_improved_water_source_Handpump" dataDxfId="822" totalsRowDxfId="821" dataCellStyle="Comma"/>
    <tableColumn id="102" xr3:uid="{00000000-0010-0000-0000-000066000000}" name="#_Existing_improved_water_source_Handpump" dataDxfId="820" totalsRowDxfId="819" dataCellStyle="Comma"/>
    <tableColumn id="51" xr3:uid="{0F9366F3-C720-4150-A994-3531C24FF755}" name="#_Functional_improved_water_source_tapstand_handdugwell" dataDxfId="818" totalsRowDxfId="817" dataCellStyle="Comma"/>
    <tableColumn id="50" xr3:uid="{1AC55A88-8A64-4F61-A4EC-4BC5E511D470}" name="#_Existing_improved_water_source_tapstand_handdugwell" dataDxfId="816" totalsRowDxfId="815" dataCellStyle="Comma"/>
    <tableColumn id="103" xr3:uid="{00000000-0010-0000-0000-000067000000}" name="#_litres_of_water_supplied_by_existing_water_boating_trucking " dataDxfId="814" totalsRowDxfId="813" dataCellStyle="Comma"/>
    <tableColumn id="15" xr3:uid="{00000000-0010-0000-0000-00000F000000}" name="#_PPL_received safe_drinking_water_HH_filters_centralized water system" dataDxfId="812" totalsRowDxfId="811" dataCellStyle="Comma"/>
    <tableColumn id="106" xr3:uid="{00000000-0010-0000-0000-00006A000000}" name="#_Water samples_Tested_at_water_source" dataDxfId="810" totalsRowDxfId="809" dataCellStyle="Comma"/>
    <tableColumn id="107" xr3:uid="{00000000-0010-0000-0000-00006B000000}" name="%_Water samples _passed_at_water source" dataDxfId="808" totalsRowDxfId="807" dataCellStyle="Percent"/>
    <tableColumn id="108" xr3:uid="{00000000-0010-0000-0000-00006C000000}" name="#_Water samples_Tested_at_HH" dataDxfId="806" totalsRowDxfId="805" dataCellStyle="Comma"/>
    <tableColumn id="109" xr3:uid="{00000000-0010-0000-0000-00006D000000}" name="%_Water samples _passed_at_HH" dataDxfId="804" totalsRowDxfId="803" dataCellStyle="Percent"/>
    <tableColumn id="110" xr3:uid="{00000000-0010-0000-0000-00006E000000}" name="#_HH_receiving_HH_water_storage items" dataDxfId="802" totalsRowDxfId="801" dataCellStyle="Comma"/>
    <tableColumn id="83" xr3:uid="{A324C8A9-A015-4E27-BA21-B0049D95FB28}" name="#_PPL_accessed_water_in_TLS" dataDxfId="800" totalsRowDxfId="799" dataCellStyle="Comma"/>
    <tableColumn id="74" xr3:uid="{73C9B2A0-8DF2-4D09-B5C6-F881F1B1DF94}" name="#_PPL_accessed_water_in_THF" dataDxfId="798" totalsRowDxfId="797" dataCellStyle="Comma"/>
    <tableColumn id="113" xr3:uid="{00000000-0010-0000-0000-000071000000}" name="WATER Comment" dataDxfId="796" totalsRowDxfId="795" dataCellStyle="Comma"/>
    <tableColumn id="87" xr3:uid="{00000000-0010-0000-0000-000057000000}" name="#_Functional_adult_latrines" dataDxfId="794" totalsRowDxfId="793" dataCellStyle="Comma"/>
    <tableColumn id="65" xr3:uid="{00000000-0010-0000-0000-000041000000}" name="#_Existing_latrines" dataDxfId="792" totalsRowDxfId="791" dataCellStyle="Comma"/>
    <tableColumn id="39" xr3:uid="{00000000-0010-0000-0000-000027000000}" name="#_latrines_repaired" dataDxfId="790" totalsRowDxfId="789" dataCellStyle="Comma"/>
    <tableColumn id="24" xr3:uid="{00000000-0010-0000-0000-000018000000}" name="#_of_latrines_desludged " dataDxfId="788" totalsRowDxfId="787" dataCellStyle="Comma"/>
    <tableColumn id="25" xr3:uid="{00000000-0010-0000-0000-000019000000}" name="%_of_Men_that_feel_safe_to_use_latrines_when_they_need_to_(or_at_day/night)'?" dataDxfId="786" totalsRowDxfId="785" dataCellStyle="Percent"/>
    <tableColumn id="122" xr3:uid="{00000000-0010-0000-0000-00007A000000}" name="%_of_Women_that_feel_safe_to_use_latrines_when_they_need_to_(or_at_day/night)?" dataDxfId="784" totalsRowDxfId="783" dataCellStyle="Percent"/>
    <tableColumn id="123" xr3:uid="{00000000-0010-0000-0000-00007B000000}" name="%_of_Children_that_feel_safe_to_use_latrines_when_they_need_to_(or_at_day/night)?" dataDxfId="782" totalsRowDxfId="781" dataCellStyle="Percent"/>
    <tableColumn id="105" xr3:uid="{00000000-0010-0000-0000-000069000000}" name="#_of_functional_children_latrines" dataDxfId="780" totalsRowDxfId="779" dataCellStyle="Comma"/>
    <tableColumn id="100" xr3:uid="{00000000-0010-0000-0000-000064000000}" name="#_of_PWD_with_adapted_sanitation_option" dataDxfId="778" totalsRowDxfId="777" dataCellStyle="Comma"/>
    <tableColumn id="26" xr3:uid="{00000000-0010-0000-0000-00001A000000}" name="#_of_latrines_in_TLS/CFS" dataDxfId="776" totalsRowDxfId="775" dataCellStyle="Comma"/>
    <tableColumn id="52" xr3:uid="{57FB2B4D-DC76-46CE-B66A-9B2EF21E496B}" name="#_of_latrines_in_THF" dataDxfId="774" totalsRowDxfId="773" dataCellStyle="Comma"/>
    <tableColumn id="125" xr3:uid="{00000000-0010-0000-0000-00007D000000}" name="Is_there_an_effective_solid_waste_management_system_in_place?" dataDxfId="772" totalsRowDxfId="771" dataCellStyle="Comma"/>
    <tableColumn id="11" xr3:uid="{00000000-0010-0000-0000-00000B000000}" name="SANITATION Comments " dataDxfId="770" totalsRowDxfId="769"/>
    <tableColumn id="126" xr3:uid="{00000000-0010-0000-0000-00007E000000}" name="_#_of_Men_receiving_consultation_hygiene_promotion_messages_and_sessions" dataDxfId="768" totalsRowDxfId="767" dataCellStyle="Comma"/>
    <tableColumn id="127" xr3:uid="{00000000-0010-0000-0000-00007F000000}" name="_#_of_Women_receiving_consultation_hygiene_promotion_messages_and_sessions" dataDxfId="766" totalsRowDxfId="765" dataCellStyle="Comma"/>
    <tableColumn id="13" xr3:uid="{00000000-0010-0000-0000-00000D000000}" name="_#_of_Boys_receiving_consultation_hygiene_promotion_messages_and_sessions" dataDxfId="764" totalsRowDxfId="763" dataCellStyle="Comma"/>
    <tableColumn id="128" xr3:uid="{00000000-0010-0000-0000-000080000000}" name="_#_of_Girls_receiving_consultation_hygiene_promotion_messages_and_sessions" dataDxfId="762" totalsRowDxfId="761" dataCellStyle="Comma"/>
    <tableColumn id="129" xr3:uid="{00000000-0010-0000-0000-000081000000}" name="#_of_affected_households_receiving_a_sufficient_quantity_of_soap" dataDxfId="760" totalsRowDxfId="759" dataCellStyle="Comma"/>
    <tableColumn id="130" xr3:uid="{00000000-0010-0000-0000-000082000000}" name="#_of_affected_women_and_girls_receiving_a_sufficient_quantity_of_sanitary_pads" dataDxfId="758" totalsRowDxfId="757" dataCellStyle="Comma"/>
    <tableColumn id="133" xr3:uid="{00000000-0010-0000-0000-000085000000}" name="%_of_women_and_girls_who_report_that_they_have_an_adequate_system_for_disposing_of_used_sanitary_pads" dataDxfId="756" totalsRowDxfId="755" dataCellStyle="Percent"/>
    <tableColumn id="131" xr3:uid="{00000000-0010-0000-0000-000083000000}" name="%_of_affected_people_who_report_handwashing_at_key_times" dataDxfId="754" totalsRowDxfId="753" dataCellStyle="Percent"/>
    <tableColumn id="28" xr3:uid="{E1A787CA-836C-4110-BDEF-DA4080E56575}" name="#_of_functional_HWS_in TLS/CFS" dataDxfId="752" totalsRowDxfId="751" dataCellStyle="Percent"/>
    <tableColumn id="134" xr3:uid="{00000000-0010-0000-0000-000086000000}" name="HYGIENE_Comments  _x000a_" dataDxfId="750" totalsRowDxfId="749"/>
    <tableColumn id="69" xr3:uid="{F08B8CAC-90B8-4AD5-ABFF-685A1F23A8C8}" name="%_of_affected_people_surveyed_who_report_feeling_satistfied_with_the_latrine_design_and_sanitation_service" dataDxfId="748" totalsRowDxfId="747" dataCellStyle="Percent"/>
    <tableColumn id="79" xr3:uid="{FC6D5E73-EE3C-4FE8-9811-A426C1B99932}" name="%_of_affected_people_surveyed_who_report_feeling_satistfied_with_the_water_point_design_and_water_service" dataDxfId="746" totalsRowDxfId="745" dataCellStyle="Percent"/>
    <tableColumn id="84" xr3:uid="{2428FCB9-2969-44B8-9F3C-E8FAE2B432E2}" name="%_of_affected_people_surveyed_who_report_feeling_informed_about_the_different_WASH_services_available_to_them" dataDxfId="744" totalsRowDxfId="743" dataCellStyle="Percent"/>
    <tableColumn id="17" xr3:uid="{15698A41-EB30-45BA-98B7-AE2A662D14C4}" name="%_of_complaints_received_that_result_in_timely_corrective_action_and_feedback_to_the_community" dataDxfId="742" totalsRowDxfId="741" dataCellStyle="Percent"/>
    <tableColumn id="32" xr3:uid="{6748107D-F9F0-4D7D-81DB-7754B604F3FB}" name="Diarrhoea_rate_per_10,000_ppl,_average_over_past_3_months_(extracted_from_EpiWeek_data_from_health)" dataDxfId="740" totalsRowDxfId="739" dataCellStyle="Percent"/>
    <tableColumn id="56" xr3:uid="{97A1F5AB-0BC0-4278-8DF7-2C5327F2B913}" name="#_of_sanitation_facilities_(latrines)_built/repaired/rehabilitated_following_risk-sensitive_programming_and_consultation_with_communities_and/or_GBV_risk-sensitive_programming" dataDxfId="738" totalsRowDxfId="737" dataCellStyle="Comma"/>
    <tableColumn id="57" xr3:uid="{8F4EF626-5B99-4F63-970C-0E4FC7147A5A}" name="#_of_sanitation_facilities_(HH_sanitation_devices)_distributed_following_risk-sensitive_programming_and_consultation_with_communities_and/or_GBV_risk-sensitive_programming" dataDxfId="736" totalsRowDxfId="735" dataCellStyle="Comma"/>
    <tableColumn id="66" xr3:uid="{776143A0-A23B-4F5C-A7AB-41A87F154081}" name="# of sanitation facilities (bathing spaces) built following risk-sensitive programming and consultation with communities" dataDxfId="734" totalsRowDxfId="733" dataCellStyle="Comma"/>
    <tableColumn id="10" xr3:uid="{19F9CE3F-94D4-4412-96A8-6138BFB912A0}" name="amount_of_MMK/Voucher_or_Token_distributed_per_HH/Family" dataDxfId="732" totalsRowDxfId="731" dataCellStyle="Comma"/>
    <tableColumn id="16" xr3:uid="{A04C1B66-CD5B-4AAC-B109-BF4D70FFF594}" name="#_of_Family/HH_Reached" dataDxfId="730" totalsRowDxfId="729" dataCellStyle="Comma"/>
    <tableColumn id="20" xr3:uid="{534AC390-E577-43F3-B9EF-C9C49C27D317}" name="Date_of_Cash_distribution" dataDxfId="728" totalsRowDxfId="727" dataCellStyle="Comma"/>
    <tableColumn id="23" xr3:uid="{8CAF07C7-C62F-455E-91D4-9A0BE10B485C}" name="Cash_distributed_for_which_items" dataDxfId="726" totalsRowDxfId="725" dataCellStyle="Comma"/>
    <tableColumn id="97" xr3:uid="{00000000-0010-0000-0000-000061000000}" name="Water_testing_at source" dataDxfId="724">
      <calculatedColumnFormula>IF(WWWW[[#This Row],['#_Water samples_Tested_at_water_source]]="","no test","Tested")</calculatedColumnFormula>
    </tableColumn>
    <tableColumn id="98" xr3:uid="{00000000-0010-0000-0000-000062000000}" name="Water_testing_at HH" dataDxfId="723" totalsRowDxfId="722" dataCellStyle="Percent">
      <calculatedColumnFormula>IF(WWWW[[#This Row],['#_Water samples_Tested_at_HH]]="","no test","Tested")</calculatedColumnFormula>
    </tableColumn>
    <tableColumn id="19" xr3:uid="{00000000-0010-0000-0000-000013000000}" name="Warter quality test done" dataDxfId="721" totalsRowDxfId="720" dataCellStyle="Percent">
      <calculatedColumnFormula>IF(AND(WWWW[[#This Row],[Water_testing_at source]]="no test",WWWW[[#This Row],[Water_testing_at HH]]="no test"),"No Test","Tested")</calculatedColumnFormula>
    </tableColumn>
    <tableColumn id="34" xr3:uid="{00000000-0010-0000-0000-000022000000}" name="% HRP1" dataDxfId="719"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18" totalsRowDxfId="717">
      <calculatedColumnFormula>WWWW[[#This Row],[% HRP1]]*WWWW[[#This Row],[Total PoP ]]</calculatedColumnFormula>
    </tableColumn>
    <tableColumn id="86" xr3:uid="{00000000-0010-0000-0000-000056000000}" name="#Water points coverage" dataDxfId="716" totalsRowDxfId="715">
      <calculatedColumnFormula>WWWW[[#This Row],[HRP1]]/500</calculatedColumnFormula>
    </tableColumn>
    <tableColumn id="85" xr3:uid="{00000000-0010-0000-0000-000055000000}" name="%equitable and continuous access to sufficient quantity of safe drinking and domestic water's GAP" dataDxfId="714" totalsRowDxfId="713">
      <calculatedColumnFormula>1-WWWW[[#This Row],[% HRP1]]</calculatedColumnFormula>
    </tableColumn>
    <tableColumn id="43" xr3:uid="{00000000-0010-0000-0000-00002B000000}" name="# people needs equitable and continuous access to sufficient quantity of safe drinking and domestic water GAP" dataDxfId="712" totalsRowDxfId="711">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10" totalsRowDxfId="709" dataCellStyle="Percent">
      <calculatedColumnFormula>ROUND(IF(WWWW[[#This Row],[Total PoP ]]&lt;500,1,WWWW[[#This Row],[Total PoP ]]/500),0)</calculatedColumnFormula>
    </tableColumn>
    <tableColumn id="44" xr3:uid="{00000000-0010-0000-0000-00002C000000}" name="#Potential required new water points" dataDxfId="708" totalsRowDxfId="707"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06" totalsRowDxfId="705" dataCellStyle="Percent">
      <calculatedColumnFormula>WWWW[[#This Row],[HRP2]]/WWWW[[#This Row],[Total PoP ]]</calculatedColumnFormula>
    </tableColumn>
    <tableColumn id="18" xr3:uid="{00000000-0010-0000-0000-000012000000}" name="HRP2" dataDxfId="704" totalsRowDxfId="703">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02" totalsRowDxfId="701">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00" totalsRowDxfId="699" dataCellStyle="Percent">
      <calculatedColumnFormula>WWWW[[#This Row],['#_of_latrines_in_TLS/CFS]]*50</calculatedColumnFormula>
    </tableColumn>
    <tableColumn id="67" xr3:uid="{281E2138-F178-4765-8CBE-290B98C64EFE}" name="# people access to functioning latrines in THF_HRP6" dataDxfId="698" totalsRowDxfId="697" dataCellStyle="Percent">
      <calculatedColumnFormula>IF(WWWW[[#This Row],['#_of_latrines_in_THF]]="",0,WWWW[[#This Row],['#_of_latrines_in_THF]]*50)</calculatedColumnFormula>
    </tableColumn>
    <tableColumn id="73" xr3:uid="{00000000-0010-0000-0000-000049000000}" name="Total required Latrines" dataDxfId="696" totalsRowDxfId="695" dataCellStyle="Percent">
      <calculatedColumnFormula>ROUND(IF(WWWW[[#This Row],[Location Type 1]]="camp",WWWW[[#This Row],[Total PoP ]]/20),0)</calculatedColumnFormula>
    </tableColumn>
    <tableColumn id="49" xr3:uid="{00000000-0010-0000-0000-000031000000}" name="# potential required new latrines" dataDxfId="694" totalsRowDxfId="693"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92" totalsRowDxfId="691">
      <calculatedColumnFormula>1-WWWW[[#This Row],[% HRP2]]</calculatedColumnFormula>
    </tableColumn>
    <tableColumn id="76" xr3:uid="{00000000-0010-0000-0000-00004C000000}" name="% Latrines requiring  repairs" dataDxfId="690" totalsRowDxfId="689"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0" totalsRowDxfId="688">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687" totalsRowDxfId="686"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85" totalsRowDxfId="684"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83" totalsRowDxfId="682"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81" totalsRowDxfId="680"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79" totalsRowDxfId="678">
      <calculatedColumnFormula>IF(WWWW[[#This Row],[HRP3]]/WWWW[[#This Row],[Total PoP ]]&gt;100%,100%,WWWW[[#This Row],[HRP3]]/WWWW[[#This Row],[Total PoP ]])</calculatedColumnFormula>
    </tableColumn>
    <tableColumn id="72" xr3:uid="{00000000-0010-0000-0000-000048000000}" name="Hygiene Gap%" dataDxfId="677" totalsRowDxfId="676" dataCellStyle="Percent">
      <calculatedColumnFormula>1-WWWW[[#This Row],[Hygiene Coverage%]]</calculatedColumnFormula>
    </tableColumn>
    <tableColumn id="96" xr3:uid="{00000000-0010-0000-0000-000060000000}" name="%people reached by regular dedicated hygiene promotion" dataDxfId="675" totalsRowDxfId="674" dataCellStyle="Percent">
      <calculatedColumnFormula>WWWW[[#This Row],['# people reached by regular dedicated hygiene promotion_5]]/WWWW[[#This Row],[Total PoP ]]</calculatedColumnFormula>
    </tableColumn>
    <tableColumn id="55" xr3:uid="{00000000-0010-0000-0000-000037000000}" name="%HH with access to soap" dataDxfId="673" totalsRowDxfId="672"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671" totalsRowDxfId="670">
      <calculatedColumnFormula>IF(WWWW[[#This Row],['#_students at TLS_CFS]]="","No","Yes")</calculatedColumnFormula>
    </tableColumn>
    <tableColumn id="38" xr3:uid="{794A858C-E6A5-49E1-8410-D4883797176F}" name="%_of_affected_people_surveyed_who_report_feeling_informed_about_the_different_WASH_services_available_to_them2" dataDxfId="669" totalsRowDxfId="668" dataCellStyle="Percent">
      <calculatedColumnFormula>WWWW[[#This Row],[%_of_affected_people_surveyed_who_report_feeling_informed_about_the_different_WASH_services_available_to_them]]</calculatedColumnFormula>
    </tableColumn>
    <tableColumn id="71" xr3:uid="{842D370B-98F2-4E9C-B7C9-EDBEC58AD26C}" name="HRP4" dataDxfId="667" totalsRowDxfId="666"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665" totalsRowDxfId="664"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663" totalsRowDxfId="662"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58" xr3:uid="{00000000-0010-0000-0000-00003A000000}" name="CCCM Management" dataDxfId="661" totalsRowDxfId="660" dataCellStyle="Percent">
      <calculatedColumnFormula>VLOOKUP(WWWW[[#This Row],[Site Name]],SiteDB6[[Site Name]:[CCCM Management]],6,FALSE)</calculatedColumnFormula>
    </tableColumn>
    <tableColumn id="81" xr3:uid="{00000000-0010-0000-0000-000051000000}" name="CCCM Focal Agency" dataDxfId="659" totalsRowDxfId="658" dataCellStyle="Percent">
      <calculatedColumnFormula>VLOOKUP(WWWW[[#This Row],[Site Name]],SiteDB6[[Site Name]:[CCCM Focal Agency]],7,FALSE)</calculatedColumnFormula>
    </tableColumn>
    <tableColumn id="80" xr3:uid="{00000000-0010-0000-0000-000050000000}" name="Location Type 1" dataDxfId="657" totalsRowDxfId="656" dataCellStyle="Percent">
      <calculatedColumnFormula>VLOOKUP(WWWW[[#This Row],[Site Name]],SiteDB6[[Site Name]:[Location Type 1]],9,FALSE)</calculatedColumnFormula>
    </tableColumn>
    <tableColumn id="45" xr3:uid="{00000000-0010-0000-0000-00002D000000}" name="Type of accommodation" dataDxfId="655" totalsRowDxfId="654" dataCellStyle="Percent">
      <calculatedColumnFormula>VLOOKUP(WWWW[[#This Row],[Site Name]],SiteDB6[[Site Name]:[Type of Accommodation]],10,FALSE)</calculatedColumnFormula>
    </tableColumn>
    <tableColumn id="46" xr3:uid="{00000000-0010-0000-0000-00002E000000}" name="Ethnic or GCA/NGCA" dataDxfId="653" totalsRowDxfId="652" dataCellStyle="Percent">
      <calculatedColumnFormula>VLOOKUP(WWWW[[#This Row],[Site Name]],SiteDB6[[Site Name]:[Ethnic or GCA/NGCA]],11,FALSE)</calculatedColumnFormula>
    </tableColumn>
    <tableColumn id="60" xr3:uid="{00000000-0010-0000-0000-00003C000000}" name="Lat" dataDxfId="651" totalsRowDxfId="650" dataCellStyle="Percent">
      <calculatedColumnFormula>VLOOKUP(WWWW[[#This Row],[Site Name]],SiteDB6[[Site Name]:[Lat]],12,FALSE)</calculatedColumnFormula>
    </tableColumn>
    <tableColumn id="61" xr3:uid="{00000000-0010-0000-0000-00003D000000}" name="Long" dataDxfId="649" totalsRowDxfId="648" dataCellStyle="Percent">
      <calculatedColumnFormula>VLOOKUP(WWWW[[#This Row],[Site Name]],SiteDB6[[Site Name]:[Long]],13,FALSE)</calculatedColumnFormula>
    </tableColumn>
    <tableColumn id="62" xr3:uid="{00000000-0010-0000-0000-00003E000000}" name="Pcode" dataDxfId="647" totalsRowDxfId="646" dataCellStyle="Percent">
      <calculatedColumnFormula>VLOOKUP(WWWW[[#This Row],[Site Name]],SiteDB6[[Site Name]:[Pcode]],3,FALSE)</calculatedColumnFormula>
    </tableColumn>
    <tableColumn id="63" xr3:uid="{00000000-0010-0000-0000-00003F000000}" name="Covered" dataDxfId="645" totalsRowDxfId="644">
      <calculatedColumnFormula>IF(C7="none","Notcovered","Covered")</calculatedColumnFormula>
    </tableColumn>
    <tableColumn id="22" xr3:uid="{826CE2B6-5FC4-4AEB-8DBB-6684ACBBF4AF}" name="# of Male_People with disabilities" dataDxfId="643" totalsRowDxfId="642"/>
    <tableColumn id="29" xr3:uid="{2F55C443-7C7C-4E42-8C0C-D0E64838ADAE}" name="# of Female_People with disabilities" dataDxfId="641" totalsRowDxfId="640"/>
    <tableColumn id="30" xr3:uid="{0DE26D30-0937-450A-9585-92FC5884D6D1}" name="# of Total_People with disabilities" dataDxfId="639" totalsRowDxfId="638">
      <calculatedColumnFormula>WWWW[[#This Row],['# of Male_People with disabilities]]+WWWW[[#This Row],['# of Female_People with disabilities]]</calculatedColumnFormula>
    </tableColumn>
    <tableColumn id="64" xr3:uid="{00000000-0010-0000-0000-000040000000}" name="Remark" dataDxfId="637" totalsRowDxfId="636"/>
    <tableColumn id="33" xr3:uid="{02022A16-5972-46BA-BBEF-68F193981FB1}" name="Total consultations" dataDxfId="635" totalsRowDxfId="634"/>
    <tableColumn id="35" xr3:uid="{CABA44DE-E161-49DA-95B2-6891B6FACF4B}" name="Cases of Acute watery diarrhea" dataDxfId="633" totalsRowDxfId="632"/>
    <tableColumn id="36" xr3:uid="{2FAA2AA3-3F27-4441-95E9-C7B30805F79D}" name="Deaths of Acute watery diarrhea" dataDxfId="631" totalsRowDxfId="630"/>
    <tableColumn id="93" xr3:uid="{71442401-24FB-48CA-817A-EB31B142910C}" name="HH" dataDxfId="629" totalsRowDxfId="628">
      <calculatedColumnFormula>VLOOKUP(WWWW[[#This Row],[Site Name]],SiteDB6[[Site Name]:[Pop
(CCCM as of Autust 2021)]],16,FALSE)</calculatedColumnFormula>
    </tableColumn>
    <tableColumn id="94" xr3:uid="{FBB21E2F-61FB-48C2-BD10-5BDB01E8B6DC}" name="Pop" dataDxfId="627" totalsRowDxfId="626">
      <calculatedColumnFormula>VLOOKUP(WWWW[[#This Row],[Site Name]],SiteDB6[[Site Name]:[Pop
(CCCM as of Autust 2021)]],17,FALSE)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19" dataDxfId="618">
  <autoFilter ref="A2:Z1111" xr:uid="{4F1541E4-DEDA-4A05-BD35-F06B0B55EE7C}">
    <filterColumn colId="3">
      <filters>
        <filter val="CCCM_2021Aug"/>
      </filters>
    </filterColumn>
    <filterColumn colId="11">
      <filters>
        <filter val="Individual House"/>
        <filter val="Planned Camp"/>
        <filter val="Self Settled Camp"/>
      </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17"/>
    <tableColumn id="12" xr3:uid="{00000000-0010-0000-0100-00000C000000}" name="Township" dataDxfId="616"/>
    <tableColumn id="1" xr3:uid="{00000000-0010-0000-0100-000001000000}" name="Site Name" dataDxfId="615"/>
    <tableColumn id="26" xr3:uid="{00000000-0010-0000-0100-00001A000000}" name="open in cccm?" dataDxfId="614"/>
    <tableColumn id="2" xr3:uid="{00000000-0010-0000-0100-000002000000}" name="Pcode" dataDxfId="613"/>
    <tableColumn id="20" xr3:uid="{00000000-0010-0000-0100-000014000000}" name="Vtract" dataDxfId="612"/>
    <tableColumn id="21" xr3:uid="{00000000-0010-0000-0100-000015000000}" name="VillageWard" dataDxfId="611"/>
    <tableColumn id="3" xr3:uid="{00000000-0010-0000-0100-000003000000}" name="CCCM Management" dataDxfId="610"/>
    <tableColumn id="4" xr3:uid="{00000000-0010-0000-0100-000004000000}" name="CCCM Focal Agency" dataDxfId="609"/>
    <tableColumn id="5" xr3:uid="{00000000-0010-0000-0100-000005000000}" name="Location Type" dataDxfId="608"/>
    <tableColumn id="6" xr3:uid="{00000000-0010-0000-0100-000006000000}" name="Location Type 1" dataDxfId="607"/>
    <tableColumn id="7" xr3:uid="{00000000-0010-0000-0100-000007000000}" name="Type of Accommodation" dataDxfId="606"/>
    <tableColumn id="8" xr3:uid="{00000000-0010-0000-0100-000008000000}" name="Ethnic or GCA/NGCA" dataDxfId="605"/>
    <tableColumn id="10" xr3:uid="{00000000-0010-0000-0100-00000A000000}" name="Lat" dataDxfId="604"/>
    <tableColumn id="9" xr3:uid="{00000000-0010-0000-0100-000009000000}" name="Long" dataDxfId="603"/>
    <tableColumn id="11" xr3:uid="{00000000-0010-0000-0100-00000B000000}" name="HRP categories" dataDxfId="602"/>
    <tableColumn id="14" xr3:uid="{00000000-0010-0000-0100-00000E000000}" name="Current 4 W reported list" dataDxfId="601"/>
    <tableColumn id="15" xr3:uid="{00000000-0010-0000-0100-00000F000000}" name="HH_x000a_(CCCM as of Autust 2021)" dataDxfId="600"/>
    <tableColumn id="16" xr3:uid="{00000000-0010-0000-0100-000010000000}" name="Pop_x000a_(CCCM as of Autust 2021)" dataDxfId="599"/>
    <tableColumn id="17" xr3:uid="{00000000-0010-0000-0100-000011000000}" name="Updated Date" dataDxfId="598"/>
    <tableColumn id="18" xr3:uid="{00000000-0010-0000-0100-000012000000}" name="Remark" dataDxfId="597"/>
    <tableColumn id="19" xr3:uid="{00000000-0010-0000-0100-000013000000}" name="Site Name_(Old)" dataDxfId="596"/>
    <tableColumn id="24" xr3:uid="{00000000-0010-0000-0100-000018000000}" name="Comments form CCCM" dataDxfId="595"/>
    <tableColumn id="22" xr3:uid="{FF7E7C61-548A-4487-B9AE-0A934724C919}" name="PWD_Male" dataDxfId="594"/>
    <tableColumn id="23" xr3:uid="{654EFBAD-22A1-49C0-AB60-83A62C3C60F0}" name="PWD_Female" dataDxfId="593"/>
    <tableColumn id="25" xr3:uid="{719F0BE0-8EA8-40DC-A8EB-6402E5D429D2}" name="PWD_Total" dataDxfId="5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8" dataDxfId="66" headerRowBorderDxfId="67" tableBorderDxfId="65" totalsRowBorderDxfId="64">
  <tableColumns count="7">
    <tableColumn id="1" xr3:uid="{7AAB66BC-5BF5-40FD-97AF-974F7637521D}" name="Gap in WASH covered camps / Township" dataDxfId="63"/>
    <tableColumn id="6" xr3:uid="{E335C298-4096-479C-9F84-9F534AB30841}" name="Partners " dataDxfId="62"/>
    <tableColumn id="7" xr3:uid="{BE20E5F5-CB4E-4255-B18C-D925A373D0C4}" name="# of sites" dataDxfId="61"/>
    <tableColumn id="2" xr3:uid="{ACC512AB-C6CA-48DF-8319-F409BB1D2EDF}" name="Total population" dataDxfId="60" dataCellStyle="Comma"/>
    <tableColumn id="3" xr3:uid="{0ACF7DF9-3CD0-4BE0-A469-5884EF213179}" name=" % _x000a_Water Gap" dataDxfId="59"/>
    <tableColumn id="4" xr3:uid="{D40DD8CD-93F1-46D7-B55E-1437D73B6B01}" name=" %_x000a_ Sanitation Gap" dataDxfId="58"/>
    <tableColumn id="5" xr3:uid="{219F4310-BB9C-4E5E-8F9A-AACDA441F896}" name="%  _x000a_Hygiene Gap" dataDxfId="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6" dataDxfId="4" headerRowBorderDxfId="5" tableBorderDxfId="3"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2" dataCellStyle="Normal_Township"/>
    <tableColumn id="2" xr3:uid="{00000000-0010-0000-0600-000002000000}" name="TSps" dataDxfId="1"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6.xml"/><Relationship Id="rId18" Type="http://schemas.openxmlformats.org/officeDocument/2006/relationships/pivotTable" Target="../pivotTables/pivotTable21.xml"/><Relationship Id="rId26" Type="http://schemas.openxmlformats.org/officeDocument/2006/relationships/pivotTable" Target="../pivotTables/pivotTable29.xml"/><Relationship Id="rId3" Type="http://schemas.openxmlformats.org/officeDocument/2006/relationships/pivotTable" Target="../pivotTables/pivotTable6.xml"/><Relationship Id="rId21" Type="http://schemas.openxmlformats.org/officeDocument/2006/relationships/pivotTable" Target="../pivotTables/pivotTable24.xml"/><Relationship Id="rId7" Type="http://schemas.openxmlformats.org/officeDocument/2006/relationships/pivotTable" Target="../pivotTables/pivotTable10.xml"/><Relationship Id="rId12" Type="http://schemas.openxmlformats.org/officeDocument/2006/relationships/pivotTable" Target="../pivotTables/pivotTable15.xml"/><Relationship Id="rId17" Type="http://schemas.openxmlformats.org/officeDocument/2006/relationships/pivotTable" Target="../pivotTables/pivotTable20.xml"/><Relationship Id="rId25" Type="http://schemas.openxmlformats.org/officeDocument/2006/relationships/pivotTable" Target="../pivotTables/pivotTable28.xml"/><Relationship Id="rId33" Type="http://schemas.microsoft.com/office/2007/relationships/slicer" Target="../slicers/slicer1.xml"/><Relationship Id="rId2" Type="http://schemas.openxmlformats.org/officeDocument/2006/relationships/pivotTable" Target="../pivotTables/pivotTable5.xml"/><Relationship Id="rId16" Type="http://schemas.openxmlformats.org/officeDocument/2006/relationships/pivotTable" Target="../pivotTables/pivotTable19.xml"/><Relationship Id="rId20" Type="http://schemas.openxmlformats.org/officeDocument/2006/relationships/pivotTable" Target="../pivotTables/pivotTable23.xml"/><Relationship Id="rId29" Type="http://schemas.openxmlformats.org/officeDocument/2006/relationships/pivotTable" Target="../pivotTables/pivotTable32.xml"/><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pivotTable" Target="../pivotTables/pivotTable14.xml"/><Relationship Id="rId24" Type="http://schemas.openxmlformats.org/officeDocument/2006/relationships/pivotTable" Target="../pivotTables/pivotTable27.xml"/><Relationship Id="rId32" Type="http://schemas.openxmlformats.org/officeDocument/2006/relationships/drawing" Target="../drawings/drawing4.xml"/><Relationship Id="rId5" Type="http://schemas.openxmlformats.org/officeDocument/2006/relationships/pivotTable" Target="../pivotTables/pivotTable8.xml"/><Relationship Id="rId15" Type="http://schemas.openxmlformats.org/officeDocument/2006/relationships/pivotTable" Target="../pivotTables/pivotTable18.xml"/><Relationship Id="rId23" Type="http://schemas.openxmlformats.org/officeDocument/2006/relationships/pivotTable" Target="../pivotTables/pivotTable26.xml"/><Relationship Id="rId28" Type="http://schemas.openxmlformats.org/officeDocument/2006/relationships/pivotTable" Target="../pivotTables/pivotTable31.xml"/><Relationship Id="rId10" Type="http://schemas.openxmlformats.org/officeDocument/2006/relationships/pivotTable" Target="../pivotTables/pivotTable13.xml"/><Relationship Id="rId19" Type="http://schemas.openxmlformats.org/officeDocument/2006/relationships/pivotTable" Target="../pivotTables/pivotTable22.xml"/><Relationship Id="rId31" Type="http://schemas.openxmlformats.org/officeDocument/2006/relationships/printerSettings" Target="../printerSettings/printerSettings8.bin"/><Relationship Id="rId4" Type="http://schemas.openxmlformats.org/officeDocument/2006/relationships/pivotTable" Target="../pivotTables/pivotTable7.xml"/><Relationship Id="rId9" Type="http://schemas.openxmlformats.org/officeDocument/2006/relationships/pivotTable" Target="../pivotTables/pivotTable12.xml"/><Relationship Id="rId14" Type="http://schemas.openxmlformats.org/officeDocument/2006/relationships/pivotTable" Target="../pivotTables/pivotTable17.xml"/><Relationship Id="rId22" Type="http://schemas.openxmlformats.org/officeDocument/2006/relationships/pivotTable" Target="../pivotTables/pivotTable25.xml"/><Relationship Id="rId27" Type="http://schemas.openxmlformats.org/officeDocument/2006/relationships/pivotTable" Target="../pivotTables/pivotTable30.xml"/><Relationship Id="rId30" Type="http://schemas.openxmlformats.org/officeDocument/2006/relationships/pivotTable" Target="../pivotTables/pivotTable33.xml"/><Relationship Id="rId8"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34.xml"/></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ivotTable" Target="../pivotTables/pivotTable35.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3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2.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9921875" defaultRowHeight="14.4"/>
  <cols>
    <col min="1" max="1" width="7.09765625" style="21" customWidth="1"/>
    <col min="2" max="2" width="2.19921875" style="21" customWidth="1"/>
    <col min="3" max="19" width="7.69921875" style="21"/>
    <col min="20" max="20" width="25.09765625" style="21" customWidth="1"/>
    <col min="21" max="16384" width="7.69921875" style="21"/>
  </cols>
  <sheetData>
    <row r="1" spans="2:20" ht="28.2" customHeight="1" thickBot="1"/>
    <row r="2" spans="2:20" s="22" customFormat="1" ht="35.549999999999997" customHeight="1" thickTop="1" thickBot="1">
      <c r="B2" s="966" t="s">
        <v>76</v>
      </c>
      <c r="C2" s="967"/>
      <c r="D2" s="967"/>
      <c r="E2" s="967"/>
      <c r="F2" s="967"/>
      <c r="G2" s="967"/>
      <c r="H2" s="967"/>
      <c r="I2" s="967"/>
      <c r="J2" s="967"/>
      <c r="K2" s="967"/>
      <c r="L2" s="967"/>
      <c r="M2" s="967"/>
      <c r="N2" s="967"/>
      <c r="O2" s="967"/>
      <c r="P2" s="967"/>
      <c r="Q2" s="967"/>
      <c r="R2" s="967"/>
      <c r="S2" s="967"/>
      <c r="T2" s="968"/>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969" t="s">
        <v>2688</v>
      </c>
      <c r="E26" s="970"/>
      <c r="F26" s="970"/>
      <c r="G26" s="970"/>
      <c r="H26" s="970"/>
      <c r="I26" s="970"/>
      <c r="J26" s="970"/>
      <c r="K26" s="970"/>
      <c r="L26" s="970"/>
      <c r="M26" s="970"/>
      <c r="N26" s="970"/>
      <c r="O26" s="970"/>
      <c r="P26" s="970"/>
      <c r="Q26" s="970"/>
      <c r="R26" s="970"/>
      <c r="S26" s="970"/>
      <c r="T26" s="971"/>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2689</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4"/>
  <sheetViews>
    <sheetView showGridLines="0" topLeftCell="A125" zoomScale="91" zoomScaleNormal="91" workbookViewId="0">
      <selection activeCell="H132" sqref="H132"/>
    </sheetView>
  </sheetViews>
  <sheetFormatPr defaultColWidth="9" defaultRowHeight="14.4"/>
  <cols>
    <col min="1" max="1" width="9.59765625" style="94" customWidth="1"/>
    <col min="2" max="2" width="36.796875" style="94" bestFit="1" customWidth="1"/>
    <col min="3" max="3" width="17.59765625" style="94" bestFit="1" customWidth="1"/>
    <col min="4" max="4" width="17.796875" style="94" customWidth="1"/>
    <col min="5" max="5" width="16" style="94" customWidth="1"/>
    <col min="6" max="6" width="17.19921875" style="94" customWidth="1"/>
    <col min="7" max="7" width="12.5" style="94" customWidth="1"/>
    <col min="8" max="8" width="18.19921875" style="94" customWidth="1"/>
    <col min="9" max="9" width="14.69921875" style="94" customWidth="1"/>
    <col min="10" max="10" width="14.59765625" style="94" bestFit="1" customWidth="1"/>
    <col min="11" max="11" width="17" style="94" bestFit="1" customWidth="1"/>
    <col min="12" max="12" width="32" style="94" bestFit="1" customWidth="1"/>
    <col min="13" max="13" width="36.19921875" style="94" bestFit="1" customWidth="1"/>
    <col min="14" max="14" width="11.19921875" style="94" customWidth="1"/>
    <col min="15" max="15" width="11.59765625" style="94" bestFit="1" customWidth="1"/>
    <col min="16" max="16" width="28.5" style="94" bestFit="1" customWidth="1"/>
    <col min="17" max="17" width="17.59765625" style="94" bestFit="1" customWidth="1"/>
    <col min="18" max="18" width="9.59765625" style="94" customWidth="1"/>
    <col min="19" max="19" width="13.09765625" style="94" customWidth="1"/>
    <col min="20" max="21" width="9.59765625" style="94" customWidth="1"/>
    <col min="22" max="22" width="14.19921875" style="94" customWidth="1"/>
    <col min="23" max="23" width="14.796875" style="94" customWidth="1"/>
    <col min="24" max="24" width="13.796875" style="94" customWidth="1"/>
    <col min="25" max="31" width="9.59765625" style="94" customWidth="1"/>
    <col min="32" max="32" width="16.69921875" style="94" customWidth="1"/>
    <col min="33" max="33" width="9.59765625" style="94" customWidth="1"/>
    <col min="34" max="16384" width="9" style="94"/>
  </cols>
  <sheetData>
    <row r="2" spans="1:33" s="127" customFormat="1" ht="18">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6">
      <c r="B4"/>
      <c r="C4"/>
      <c r="D4" s="448"/>
      <c r="E4" s="448"/>
      <c r="F4" s="448"/>
      <c r="G4" s="448"/>
      <c r="I4" s="945" t="s">
        <v>20</v>
      </c>
      <c r="J4" s="946" t="s">
        <v>3145</v>
      </c>
      <c r="K4" s="448"/>
      <c r="L4" s="891"/>
      <c r="M4" s="891"/>
      <c r="Q4" s="448"/>
    </row>
    <row r="5" spans="1:33" ht="15.6">
      <c r="B5" s="945" t="s">
        <v>20</v>
      </c>
      <c r="C5" s="946" t="s">
        <v>3145</v>
      </c>
      <c r="G5" s="448"/>
      <c r="I5" s="945" t="s">
        <v>34</v>
      </c>
      <c r="J5" s="946" t="s">
        <v>34</v>
      </c>
      <c r="L5" s="891"/>
      <c r="M5" s="891"/>
      <c r="Q5" s="448"/>
    </row>
    <row r="6" spans="1:33" ht="15.6">
      <c r="B6" s="945" t="s">
        <v>34</v>
      </c>
      <c r="C6" s="946" t="s">
        <v>34</v>
      </c>
      <c r="G6" s="448"/>
      <c r="I6" s="959" t="s">
        <v>21</v>
      </c>
      <c r="J6" s="946" t="s">
        <v>293</v>
      </c>
      <c r="L6" s="448"/>
      <c r="M6" s="891"/>
      <c r="Q6" s="448"/>
    </row>
    <row r="7" spans="1:33" ht="15.6">
      <c r="B7" s="959" t="s">
        <v>21</v>
      </c>
      <c r="C7" s="946" t="s">
        <v>293</v>
      </c>
      <c r="G7" s="448"/>
      <c r="I7" s="945" t="s">
        <v>123</v>
      </c>
      <c r="J7" s="946" t="s">
        <v>43</v>
      </c>
      <c r="L7" s="891"/>
      <c r="M7" s="891"/>
      <c r="Q7" s="448"/>
    </row>
    <row r="8" spans="1:33" ht="15.6">
      <c r="B8" s="945" t="s">
        <v>123</v>
      </c>
      <c r="C8" s="946" t="s">
        <v>43</v>
      </c>
      <c r="G8" s="448"/>
      <c r="I8" s="945" t="s">
        <v>23</v>
      </c>
      <c r="J8" s="946" t="s">
        <v>1865</v>
      </c>
      <c r="L8" s="448"/>
      <c r="N8" s="146"/>
      <c r="Q8" s="448"/>
      <c r="AE8" s="146"/>
    </row>
    <row r="9" spans="1:33" s="99" customFormat="1" ht="15.6">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6">
      <c r="B10" s="947" t="s">
        <v>22</v>
      </c>
      <c r="C10" s="946" t="s">
        <v>3004</v>
      </c>
      <c r="D10" s="958" t="s">
        <v>1869</v>
      </c>
      <c r="E10" s="946" t="s">
        <v>2750</v>
      </c>
      <c r="F10" s="946" t="s">
        <v>2751</v>
      </c>
      <c r="G10" s="946" t="s">
        <v>2752</v>
      </c>
      <c r="I10" s="947" t="s">
        <v>22</v>
      </c>
      <c r="J10" s="945" t="s">
        <v>2281</v>
      </c>
      <c r="K10"/>
      <c r="L10"/>
      <c r="M10"/>
      <c r="N10"/>
      <c r="O10"/>
      <c r="P10" s="670"/>
      <c r="Q10" s="892"/>
      <c r="R10" s="94"/>
      <c r="S10" s="94"/>
      <c r="T10" s="94"/>
      <c r="U10" s="94"/>
      <c r="V10" s="94"/>
      <c r="W10" s="94"/>
      <c r="X10" s="94"/>
      <c r="Y10" s="94"/>
      <c r="Z10" s="94"/>
      <c r="AA10" s="94"/>
      <c r="AE10"/>
      <c r="AF10"/>
      <c r="AG10"/>
    </row>
    <row r="11" spans="1:33" ht="15.6">
      <c r="B11" s="948" t="s">
        <v>356</v>
      </c>
      <c r="C11" s="949">
        <v>1</v>
      </c>
      <c r="D11" s="956">
        <v>1084</v>
      </c>
      <c r="E11" s="950">
        <v>0</v>
      </c>
      <c r="F11" s="950">
        <v>0</v>
      </c>
      <c r="G11" s="950">
        <v>0</v>
      </c>
      <c r="I11" s="946" t="s">
        <v>356</v>
      </c>
      <c r="J11" s="946" t="s">
        <v>2256</v>
      </c>
      <c r="K11"/>
      <c r="L11"/>
      <c r="M11"/>
      <c r="N11"/>
      <c r="O11"/>
      <c r="P11" s="670"/>
      <c r="Q11" s="892"/>
      <c r="AE11"/>
      <c r="AF11"/>
      <c r="AG11"/>
    </row>
    <row r="12" spans="1:33" ht="15.6">
      <c r="B12" s="948" t="s">
        <v>398</v>
      </c>
      <c r="C12" s="949">
        <v>1</v>
      </c>
      <c r="D12" s="956">
        <v>2920</v>
      </c>
      <c r="E12" s="950">
        <v>0.48630136986301364</v>
      </c>
      <c r="F12" s="950">
        <v>0</v>
      </c>
      <c r="G12" s="950">
        <v>1</v>
      </c>
      <c r="I12" s="946" t="s">
        <v>398</v>
      </c>
      <c r="J12" s="946" t="s">
        <v>397</v>
      </c>
      <c r="K12"/>
      <c r="L12"/>
      <c r="M12"/>
      <c r="N12"/>
      <c r="O12"/>
      <c r="P12" s="670"/>
      <c r="Q12" s="892"/>
      <c r="AE12"/>
      <c r="AF12"/>
      <c r="AG12"/>
    </row>
    <row r="13" spans="1:33" ht="15.6">
      <c r="B13" s="948" t="s">
        <v>401</v>
      </c>
      <c r="C13" s="949">
        <v>5</v>
      </c>
      <c r="D13" s="956">
        <v>24835</v>
      </c>
      <c r="E13" s="950">
        <v>0</v>
      </c>
      <c r="F13" s="950">
        <v>0.18788000805315075</v>
      </c>
      <c r="G13" s="950">
        <v>0</v>
      </c>
      <c r="I13" s="946" t="s">
        <v>401</v>
      </c>
      <c r="J13" s="946" t="s">
        <v>286</v>
      </c>
      <c r="K13"/>
      <c r="L13"/>
      <c r="M13"/>
      <c r="N13"/>
      <c r="O13"/>
      <c r="P13" s="670"/>
      <c r="Q13" s="892"/>
      <c r="AB13"/>
      <c r="AE13"/>
      <c r="AF13"/>
      <c r="AG13"/>
    </row>
    <row r="14" spans="1:33" ht="15.6">
      <c r="B14" s="948" t="s">
        <v>294</v>
      </c>
      <c r="C14" s="949">
        <v>14</v>
      </c>
      <c r="D14" s="956">
        <v>91149</v>
      </c>
      <c r="E14" s="950">
        <v>0</v>
      </c>
      <c r="F14" s="950">
        <v>0.14000153594663678</v>
      </c>
      <c r="G14" s="950">
        <v>1.5603678949202004E-3</v>
      </c>
      <c r="I14" s="946"/>
      <c r="J14" s="946" t="s">
        <v>265</v>
      </c>
      <c r="K14"/>
      <c r="L14"/>
      <c r="M14"/>
      <c r="N14"/>
      <c r="O14"/>
      <c r="P14"/>
      <c r="Q14" s="892"/>
      <c r="AB14"/>
      <c r="AE14"/>
      <c r="AF14"/>
      <c r="AG14"/>
    </row>
    <row r="15" spans="1:33" ht="15.6">
      <c r="B15" s="948" t="s">
        <v>1621</v>
      </c>
      <c r="C15" s="949">
        <v>21</v>
      </c>
      <c r="D15" s="956">
        <v>119988</v>
      </c>
      <c r="E15" s="950">
        <v>1.1834516785011795E-2</v>
      </c>
      <c r="F15" s="950">
        <v>0.14523952395239526</v>
      </c>
      <c r="G15" s="950">
        <v>1.0252908401290783E-2</v>
      </c>
      <c r="I15" s="946" t="s">
        <v>294</v>
      </c>
      <c r="J15" s="946" t="s">
        <v>2269</v>
      </c>
      <c r="K15"/>
      <c r="L15"/>
      <c r="M15"/>
      <c r="N15"/>
      <c r="AB15"/>
      <c r="AE15"/>
      <c r="AF15"/>
      <c r="AG15"/>
    </row>
    <row r="16" spans="1:33" ht="15.6">
      <c r="B16"/>
      <c r="C16"/>
      <c r="D16"/>
      <c r="E16"/>
      <c r="F16"/>
      <c r="G16" s="448"/>
      <c r="I16" s="946"/>
      <c r="J16" s="946" t="s">
        <v>2270</v>
      </c>
      <c r="O16"/>
      <c r="P16"/>
      <c r="Q16"/>
      <c r="R16"/>
      <c r="S16"/>
      <c r="U16" s="347"/>
      <c r="AB16"/>
      <c r="AE16"/>
      <c r="AF16"/>
      <c r="AG16"/>
    </row>
    <row r="17" spans="1:33" ht="15.6">
      <c r="B17"/>
      <c r="C17"/>
      <c r="D17"/>
      <c r="E17" s="669"/>
      <c r="F17"/>
      <c r="G17"/>
      <c r="H17"/>
      <c r="I17" s="946"/>
      <c r="J17" s="946" t="s">
        <v>286</v>
      </c>
      <c r="K17"/>
      <c r="L17"/>
      <c r="M17"/>
      <c r="N17"/>
      <c r="O17"/>
      <c r="P17"/>
      <c r="Q17"/>
      <c r="R17"/>
      <c r="S17"/>
      <c r="AB17"/>
      <c r="AE17"/>
      <c r="AF17"/>
      <c r="AG17"/>
    </row>
    <row r="18" spans="1:33" ht="15.6">
      <c r="B18" s="448"/>
      <c r="C18" s="448"/>
      <c r="D18" s="448"/>
      <c r="E18" s="669"/>
      <c r="F18" s="448"/>
      <c r="G18" s="448"/>
      <c r="H18" s="448"/>
      <c r="I18" s="946" t="s">
        <v>1621</v>
      </c>
      <c r="J18" s="946"/>
      <c r="K18" s="448"/>
      <c r="L18" s="448"/>
      <c r="M18" s="448"/>
      <c r="N18" s="448"/>
      <c r="O18" s="448"/>
      <c r="P18" s="448"/>
      <c r="Q18" s="448"/>
      <c r="R18" s="448"/>
      <c r="S18" s="448"/>
      <c r="AB18" s="448"/>
      <c r="AE18" s="448"/>
      <c r="AF18" s="448"/>
      <c r="AG18" s="448"/>
    </row>
    <row r="19" spans="1:33" ht="15.6">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6">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6">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6">
      <c r="AC24"/>
      <c r="AF24"/>
    </row>
    <row r="25" spans="1:33" ht="15.6">
      <c r="AC25"/>
    </row>
    <row r="26" spans="1:33" ht="15.6">
      <c r="B26" s="945" t="s">
        <v>20</v>
      </c>
      <c r="C26" s="946" t="s">
        <v>3145</v>
      </c>
      <c r="I26"/>
      <c r="J26"/>
      <c r="L26" s="945" t="s">
        <v>20</v>
      </c>
      <c r="M26" s="946" t="s">
        <v>3145</v>
      </c>
      <c r="AC26"/>
    </row>
    <row r="27" spans="1:33" ht="15.6">
      <c r="B27" s="959" t="s">
        <v>21</v>
      </c>
      <c r="C27" s="946" t="s">
        <v>293</v>
      </c>
      <c r="I27"/>
      <c r="J27"/>
      <c r="L27" s="959" t="s">
        <v>21</v>
      </c>
      <c r="M27" s="946" t="s">
        <v>293</v>
      </c>
      <c r="AC27"/>
    </row>
    <row r="28" spans="1:33" ht="15.6">
      <c r="B28" s="945" t="s">
        <v>34</v>
      </c>
      <c r="C28" s="946" t="s">
        <v>34</v>
      </c>
      <c r="I28"/>
      <c r="J28"/>
      <c r="L28" s="945" t="s">
        <v>34</v>
      </c>
      <c r="M28" s="946" t="s">
        <v>34</v>
      </c>
      <c r="P28" s="787" t="s">
        <v>1915</v>
      </c>
      <c r="Q28" s="119">
        <f>GETPIVOTDATA("Sum of #_Functional_improved_water_source_Handpump",$L$30,"Location Type","Camp")+GETPIVOTDATA("Sum of #_Functional_improved_water_source_tapstand_handdugwell",$L$30,"Location Type","Camp")</f>
        <v>1236</v>
      </c>
      <c r="AC28"/>
    </row>
    <row r="29" spans="1:33" ht="15.6">
      <c r="P29" s="787" t="s">
        <v>3039</v>
      </c>
      <c r="Q29" s="119">
        <f>(GETPIVOTDATA("Sum of #_Existing_improved_water_source_Handpump",$L$30,"Location Type","Camp")+GETPIVOTDATA("Sum of #_Existing_improved_water_source_tapstand_handdugwell",$L$30,"Location Type","Camp"))-Q28</f>
        <v>75</v>
      </c>
      <c r="AC29"/>
    </row>
    <row r="30" spans="1:33" ht="15.6">
      <c r="B30" s="945" t="s">
        <v>1619</v>
      </c>
      <c r="C30" s="958" t="s">
        <v>1626</v>
      </c>
      <c r="D30" s="958" t="s">
        <v>1627</v>
      </c>
      <c r="I30"/>
      <c r="J30"/>
      <c r="K30"/>
      <c r="L30" s="945" t="s">
        <v>1619</v>
      </c>
      <c r="M30" s="946" t="s">
        <v>3115</v>
      </c>
      <c r="N30" s="946" t="s">
        <v>3116</v>
      </c>
      <c r="O30" s="946" t="s">
        <v>3131</v>
      </c>
      <c r="P30" s="946" t="s">
        <v>3132</v>
      </c>
      <c r="Q30" s="390"/>
      <c r="R30" s="390"/>
      <c r="S30" s="390"/>
      <c r="T30" s="390"/>
      <c r="U30" s="390"/>
      <c r="V30" s="390"/>
      <c r="W30" s="390"/>
      <c r="X30" s="390"/>
      <c r="Y30" s="390"/>
      <c r="Z30" s="390"/>
      <c r="AA30" s="390"/>
      <c r="AB30" s="390"/>
      <c r="AC30" s="390"/>
      <c r="AD30" s="390"/>
      <c r="AE30" s="390"/>
      <c r="AF30" s="390"/>
      <c r="AG30" s="390"/>
    </row>
    <row r="31" spans="1:33" ht="15.6">
      <c r="B31" s="948" t="s">
        <v>43</v>
      </c>
      <c r="C31" s="953">
        <v>237.136</v>
      </c>
      <c r="D31" s="953">
        <v>4.3100000000000005</v>
      </c>
      <c r="I31"/>
      <c r="J31"/>
      <c r="K31"/>
      <c r="L31" s="948" t="s">
        <v>43</v>
      </c>
      <c r="M31" s="949">
        <v>1150</v>
      </c>
      <c r="N31" s="949">
        <v>1220</v>
      </c>
      <c r="O31" s="949">
        <v>86</v>
      </c>
      <c r="P31" s="949">
        <v>91</v>
      </c>
    </row>
    <row r="32" spans="1:33" ht="15.6">
      <c r="B32"/>
      <c r="C32"/>
      <c r="D32"/>
      <c r="E32" s="101"/>
    </row>
    <row r="33" spans="2:33" ht="15.6">
      <c r="B33"/>
      <c r="C33"/>
      <c r="D33"/>
      <c r="E33" s="101"/>
    </row>
    <row r="34" spans="2:33" ht="15.6">
      <c r="B34"/>
      <c r="C34"/>
      <c r="D34"/>
      <c r="E34" s="101"/>
      <c r="I34"/>
      <c r="J34"/>
      <c r="K34"/>
      <c r="P34"/>
      <c r="Q34"/>
      <c r="R34"/>
    </row>
    <row r="35" spans="2:33" ht="15.6">
      <c r="B35"/>
      <c r="C35"/>
      <c r="D35"/>
      <c r="E35" s="101"/>
      <c r="F35" s="101"/>
      <c r="G35" s="101"/>
      <c r="H35" s="101"/>
      <c r="I35"/>
      <c r="J35"/>
      <c r="K35"/>
    </row>
    <row r="36" spans="2:33" ht="15.6">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6">
      <c r="B42"/>
      <c r="C42"/>
      <c r="D42" s="101"/>
      <c r="E42" s="161"/>
      <c r="F42" s="101"/>
      <c r="G42" s="101"/>
      <c r="P42"/>
      <c r="Q42"/>
      <c r="R42" s="101"/>
      <c r="S42" s="161" t="s">
        <v>2199</v>
      </c>
      <c r="T42" s="101"/>
    </row>
    <row r="43" spans="2:33">
      <c r="B43" s="945" t="s">
        <v>34</v>
      </c>
      <c r="C43" s="946" t="s">
        <v>34</v>
      </c>
      <c r="D43" s="101"/>
      <c r="F43" s="101"/>
      <c r="G43" s="101"/>
      <c r="P43" s="945" t="s">
        <v>34</v>
      </c>
      <c r="Q43" s="946" t="s">
        <v>34</v>
      </c>
      <c r="R43" s="101"/>
      <c r="T43" s="101"/>
    </row>
    <row r="44" spans="2:33">
      <c r="B44" s="945" t="s">
        <v>123</v>
      </c>
      <c r="C44" s="946" t="s">
        <v>43</v>
      </c>
      <c r="D44" s="101"/>
      <c r="F44" s="101"/>
      <c r="G44" s="101"/>
      <c r="P44" s="945" t="s">
        <v>123</v>
      </c>
      <c r="Q44" s="946" t="s">
        <v>43</v>
      </c>
      <c r="R44" s="101"/>
      <c r="T44" s="101"/>
    </row>
    <row r="45" spans="2:33" ht="15" thickBot="1">
      <c r="B45" s="101"/>
      <c r="C45" s="101"/>
      <c r="D45" s="101"/>
      <c r="F45" s="101"/>
      <c r="G45" s="101"/>
      <c r="P45" s="101"/>
      <c r="Q45" s="101"/>
      <c r="R45" s="101"/>
      <c r="S45" s="1036" t="s">
        <v>127</v>
      </c>
      <c r="T45" s="1037"/>
    </row>
    <row r="46" spans="2:33" ht="29.4" thickBot="1">
      <c r="B46" s="945" t="s">
        <v>21</v>
      </c>
      <c r="C46" s="946" t="s">
        <v>2895</v>
      </c>
      <c r="D46" s="946" t="s">
        <v>3112</v>
      </c>
      <c r="E46"/>
      <c r="F46" s="503" t="s">
        <v>21</v>
      </c>
      <c r="G46" s="435" t="s">
        <v>1868</v>
      </c>
      <c r="H46" s="436" t="s">
        <v>1906</v>
      </c>
      <c r="I46" s="436" t="s">
        <v>1905</v>
      </c>
      <c r="K46" s="437" t="s">
        <v>3113</v>
      </c>
      <c r="L46" s="437" t="s">
        <v>3114</v>
      </c>
      <c r="M46" s="436" t="s">
        <v>2793</v>
      </c>
      <c r="P46" s="945" t="s">
        <v>21</v>
      </c>
      <c r="Q46" s="946" t="s">
        <v>2896</v>
      </c>
      <c r="R46" s="946" t="s">
        <v>3117</v>
      </c>
      <c r="S46"/>
      <c r="T46"/>
      <c r="U46" s="390"/>
      <c r="V46" s="503" t="s">
        <v>21</v>
      </c>
      <c r="W46" s="435" t="s">
        <v>1868</v>
      </c>
      <c r="X46" s="436" t="s">
        <v>1906</v>
      </c>
      <c r="Y46" s="436" t="s">
        <v>2794</v>
      </c>
      <c r="AA46" s="437" t="s">
        <v>3113</v>
      </c>
      <c r="AB46" s="437" t="s">
        <v>3114</v>
      </c>
      <c r="AC46" s="436" t="s">
        <v>2795</v>
      </c>
      <c r="AD46" s="390"/>
      <c r="AE46" s="390"/>
      <c r="AF46" s="390"/>
      <c r="AG46" s="390"/>
    </row>
    <row r="47" spans="2:33" ht="15.6">
      <c r="B47" s="948" t="s">
        <v>3144</v>
      </c>
      <c r="C47" s="949">
        <v>36</v>
      </c>
      <c r="D47" s="950">
        <v>1</v>
      </c>
      <c r="E47"/>
      <c r="F47" s="122" t="s">
        <v>2624</v>
      </c>
      <c r="G47" s="438">
        <v>21</v>
      </c>
      <c r="H47" s="438">
        <f>GETPIVOTDATA("[Measures].[Distinct Count of Site Name]",$B$55)</f>
        <v>15</v>
      </c>
      <c r="I47" s="504">
        <f>G47-H47</f>
        <v>6</v>
      </c>
      <c r="J47" s="919" t="s">
        <v>3195</v>
      </c>
      <c r="K47" s="820">
        <f>GETPIVOTDATA("Average of %_Water samples _passed_at_water source",$B$46,"Reporting Period","2022_Q1")</f>
        <v>1</v>
      </c>
      <c r="L47" s="820">
        <f>1-K47</f>
        <v>0</v>
      </c>
      <c r="M47" s="438">
        <f>GETPIVOTDATA("Sum of #_Water samples_Tested_at_water_source2",$B$46,"Reporting Period","2022_Q1")</f>
        <v>36</v>
      </c>
      <c r="P47" s="948" t="s">
        <v>3144</v>
      </c>
      <c r="Q47" s="949">
        <v>84</v>
      </c>
      <c r="R47" s="950">
        <v>0.99</v>
      </c>
      <c r="S47"/>
      <c r="T47"/>
      <c r="V47" s="122" t="s">
        <v>2624</v>
      </c>
      <c r="W47" s="438">
        <v>21</v>
      </c>
      <c r="X47" s="438">
        <f>GETPIVOTDATA("[Measures].[Distinct Count of Site Name]",$P$54)</f>
        <v>12</v>
      </c>
      <c r="Y47" s="438">
        <f>W47-X47</f>
        <v>9</v>
      </c>
      <c r="Z47" s="918" t="s">
        <v>3195</v>
      </c>
      <c r="AA47" s="820">
        <f>GETPIVOTDATA("Average of %_Water samples _passed_at_HH",$P$46,"Reporting Period","2022_Q1")</f>
        <v>0.99</v>
      </c>
      <c r="AB47" s="820">
        <f>1-AA47</f>
        <v>1.0000000000000009E-2</v>
      </c>
      <c r="AC47" s="731">
        <f>GETPIVOTDATA("Sum of #_Water samples_Tested_at_HH2",$P$46,"Reporting Period","2022_Q1")</f>
        <v>84</v>
      </c>
    </row>
    <row r="48" spans="2:33" ht="15.6">
      <c r="B48" s="948" t="s">
        <v>3145</v>
      </c>
      <c r="C48" s="949">
        <v>667</v>
      </c>
      <c r="D48" s="950">
        <v>0.63600000000000001</v>
      </c>
      <c r="E48"/>
      <c r="F48"/>
      <c r="G48" s="101"/>
      <c r="J48" s="919" t="s">
        <v>3196</v>
      </c>
      <c r="K48" s="820">
        <f>GETPIVOTDATA("Average of %_Water samples _passed_at_water source",$B$46,"Reporting Period","2022_Q2")</f>
        <v>0.63600000000000001</v>
      </c>
      <c r="L48" s="820">
        <f>1-K48</f>
        <v>0.36399999999999999</v>
      </c>
      <c r="M48" s="94">
        <f>GETPIVOTDATA("Sum of #_Water samples_Tested_at_water_source2",$B$46,"Reporting Period","2022_Q2")</f>
        <v>667</v>
      </c>
      <c r="P48" s="948" t="s">
        <v>3145</v>
      </c>
      <c r="Q48" s="949">
        <v>723</v>
      </c>
      <c r="R48" s="950">
        <v>0.46833333333333332</v>
      </c>
      <c r="S48"/>
      <c r="T48"/>
      <c r="Z48" s="918" t="s">
        <v>3196</v>
      </c>
      <c r="AA48" s="820">
        <f>GETPIVOTDATA("Average of %_Water samples _passed_at_HH",$P$46,"Reporting Period","2022_Q2")</f>
        <v>0.46833333333333332</v>
      </c>
      <c r="AB48" s="820">
        <f>1-AA48</f>
        <v>0.53166666666666673</v>
      </c>
      <c r="AC48" s="731">
        <f>GETPIVOTDATA("Sum of #_Water samples_Tested_at_HH2",$P$46,"Reporting Period","2022_Q2")</f>
        <v>723</v>
      </c>
    </row>
    <row r="49" spans="2:20" ht="15.6">
      <c r="B49" s="948" t="s">
        <v>1621</v>
      </c>
      <c r="C49" s="949">
        <v>703</v>
      </c>
      <c r="D49" s="950">
        <v>0.65875000000000006</v>
      </c>
      <c r="E49" s="448"/>
      <c r="F49" s="448"/>
      <c r="G49" s="101"/>
      <c r="P49" s="948" t="s">
        <v>1621</v>
      </c>
      <c r="Q49" s="949">
        <v>807</v>
      </c>
      <c r="R49" s="950">
        <v>0.50846153846153852</v>
      </c>
      <c r="S49" s="745"/>
      <c r="T49" s="745"/>
    </row>
    <row r="50" spans="2:20" ht="15.6">
      <c r="B50"/>
      <c r="C50"/>
      <c r="D50" s="745"/>
      <c r="E50" s="448"/>
      <c r="F50" s="448"/>
      <c r="G50" s="101"/>
      <c r="P50" s="744"/>
      <c r="Q50" s="745"/>
      <c r="R50" s="745"/>
      <c r="S50" s="745"/>
      <c r="T50" s="745"/>
    </row>
    <row r="51" spans="2:20" ht="15.6">
      <c r="D51"/>
      <c r="E51"/>
      <c r="F51"/>
      <c r="G51" s="101"/>
      <c r="P51"/>
      <c r="Q51"/>
      <c r="R51"/>
      <c r="S51"/>
      <c r="T51"/>
    </row>
    <row r="52" spans="2:20" ht="15.6">
      <c r="D52"/>
      <c r="E52"/>
      <c r="F52"/>
      <c r="P52" s="453" t="s">
        <v>2817</v>
      </c>
      <c r="Q52" s="448" t="s" vm="2">
        <v>1620</v>
      </c>
      <c r="R52"/>
      <c r="S52"/>
      <c r="T52"/>
    </row>
    <row r="53" spans="2:20" ht="15.6">
      <c r="B53" s="453" t="s">
        <v>2816</v>
      </c>
      <c r="C53" s="448" t="s" vm="1">
        <v>1620</v>
      </c>
      <c r="D53"/>
      <c r="P53" s="448"/>
      <c r="Q53" s="448"/>
    </row>
    <row r="54" spans="2:20" ht="15.6">
      <c r="B54"/>
      <c r="C54"/>
      <c r="D54"/>
      <c r="P54" t="s">
        <v>3001</v>
      </c>
      <c r="Q54" s="448"/>
    </row>
    <row r="55" spans="2:20" ht="15.6">
      <c r="B55" t="s">
        <v>3001</v>
      </c>
      <c r="C55"/>
      <c r="D55"/>
      <c r="E55" s="161"/>
      <c r="P55" s="447">
        <v>12</v>
      </c>
      <c r="Q55" s="448"/>
    </row>
    <row r="56" spans="2:20" ht="15.6">
      <c r="B56" s="447">
        <v>15</v>
      </c>
      <c r="C56"/>
      <c r="D56"/>
    </row>
    <row r="57" spans="2:20" ht="15.6">
      <c r="B57"/>
      <c r="C57"/>
      <c r="D57"/>
      <c r="E57" s="390"/>
      <c r="F57" s="390"/>
      <c r="G57" s="390"/>
    </row>
    <row r="58" spans="2:20" ht="15.6">
      <c r="B58"/>
      <c r="C58"/>
      <c r="D58"/>
    </row>
    <row r="59" spans="2:20" s="113" customFormat="1" ht="15.6">
      <c r="B59"/>
      <c r="C59"/>
      <c r="D59"/>
      <c r="E59" s="116"/>
      <c r="F59" s="116"/>
      <c r="G59" s="117"/>
    </row>
    <row r="60" spans="2:20" s="113" customFormat="1" ht="15.6">
      <c r="B60"/>
      <c r="C60"/>
      <c r="D60"/>
      <c r="E60" s="116"/>
      <c r="F60" s="116"/>
      <c r="G60" s="117"/>
    </row>
    <row r="61" spans="2:20" s="113" customFormat="1" ht="15.6">
      <c r="B61"/>
      <c r="C61"/>
      <c r="D61"/>
      <c r="E61" s="116"/>
      <c r="F61" s="116"/>
      <c r="G61" s="117"/>
    </row>
    <row r="62" spans="2:20" s="113" customFormat="1">
      <c r="B62" s="945" t="s">
        <v>20</v>
      </c>
      <c r="C62" s="946" t="s">
        <v>3145</v>
      </c>
      <c r="D62" s="101"/>
      <c r="E62" s="116"/>
      <c r="F62" s="116"/>
      <c r="G62" s="117"/>
    </row>
    <row r="63" spans="2:20" s="113" customFormat="1">
      <c r="B63" s="945" t="s">
        <v>34</v>
      </c>
      <c r="C63" s="946" t="s">
        <v>34</v>
      </c>
      <c r="D63" s="101"/>
      <c r="E63" s="116"/>
      <c r="F63" s="116"/>
      <c r="G63" s="117"/>
    </row>
    <row r="64" spans="2:20" s="113" customFormat="1">
      <c r="B64" s="945" t="s">
        <v>123</v>
      </c>
      <c r="C64" s="946" t="s">
        <v>43</v>
      </c>
      <c r="D64" s="101"/>
      <c r="E64" s="116"/>
      <c r="F64" s="116"/>
      <c r="G64" s="117"/>
    </row>
    <row r="65" spans="2:15" s="113" customFormat="1">
      <c r="B65" s="101"/>
      <c r="C65" s="101"/>
      <c r="D65" s="101"/>
      <c r="E65" s="116"/>
      <c r="F65" s="116"/>
      <c r="G65" s="117"/>
    </row>
    <row r="66" spans="2:15" s="113" customFormat="1">
      <c r="B66" s="945" t="s">
        <v>2630</v>
      </c>
      <c r="C66" s="945" t="s">
        <v>1916</v>
      </c>
      <c r="D66" s="946"/>
      <c r="E66" s="116"/>
      <c r="F66" s="116"/>
      <c r="G66" s="117"/>
    </row>
    <row r="67" spans="2:15" s="113" customFormat="1">
      <c r="B67" s="947" t="s">
        <v>21</v>
      </c>
      <c r="C67" s="946" t="s">
        <v>1905</v>
      </c>
      <c r="D67" s="946" t="s">
        <v>1906</v>
      </c>
      <c r="E67" s="116"/>
      <c r="F67" s="116"/>
      <c r="G67" s="117"/>
    </row>
    <row r="68" spans="2:15" s="113" customFormat="1">
      <c r="B68" s="948" t="s">
        <v>293</v>
      </c>
      <c r="C68" s="949">
        <v>4</v>
      </c>
      <c r="D68" s="949">
        <v>17</v>
      </c>
      <c r="E68" s="116"/>
      <c r="F68" s="116"/>
      <c r="G68" s="117"/>
    </row>
    <row r="69" spans="2:15" s="113" customFormat="1" ht="15.6">
      <c r="B69"/>
      <c r="C69"/>
      <c r="D69"/>
      <c r="E69" s="116"/>
      <c r="F69" s="116"/>
      <c r="G69" s="117"/>
    </row>
    <row r="70" spans="2:15" s="113" customFormat="1" ht="15.6">
      <c r="B70"/>
      <c r="C70"/>
      <c r="D70"/>
      <c r="E70" s="116"/>
      <c r="F70" s="116"/>
      <c r="G70" s="117"/>
    </row>
    <row r="71" spans="2:15" s="113" customFormat="1" ht="15" thickBot="1">
      <c r="B71" s="101"/>
      <c r="C71" s="101"/>
      <c r="D71" s="101"/>
      <c r="E71" s="116"/>
      <c r="F71" s="116"/>
      <c r="G71" s="117"/>
    </row>
    <row r="72" spans="2:15" s="113" customFormat="1" ht="15.6">
      <c r="B72" s="104"/>
      <c r="C72" s="107" t="s">
        <v>1905</v>
      </c>
      <c r="D72" s="108" t="s">
        <v>1906</v>
      </c>
      <c r="E72"/>
      <c r="F72" s="116"/>
      <c r="G72" s="117"/>
    </row>
    <row r="73" spans="2:15" s="113" customFormat="1" ht="15.6">
      <c r="B73" s="105"/>
      <c r="C73" s="109"/>
      <c r="D73" s="110"/>
      <c r="E73"/>
      <c r="F73" s="116"/>
      <c r="G73" s="117"/>
      <c r="M73"/>
      <c r="N73"/>
      <c r="O73"/>
    </row>
    <row r="74" spans="2:15" s="113" customFormat="1" ht="15.6">
      <c r="B74" s="105" t="s">
        <v>293</v>
      </c>
      <c r="C74" s="109">
        <f>GETPIVOTDATA("Warter quality test done",$B$66,"State","Rakhine","Warter quality test done","No Test")</f>
        <v>4</v>
      </c>
      <c r="D74" s="110">
        <f>GETPIVOTDATA("Warter quality test done",$B$66,"State","Rakhine","Warter quality test done","Tested")</f>
        <v>17</v>
      </c>
      <c r="E74"/>
      <c r="F74" s="116"/>
      <c r="G74" s="117"/>
      <c r="M74"/>
      <c r="N74"/>
      <c r="O74"/>
    </row>
    <row r="75" spans="2:15" s="113" customFormat="1" ht="16.2" thickBot="1">
      <c r="B75" s="106"/>
      <c r="C75" s="111"/>
      <c r="D75" s="112"/>
      <c r="E75" s="116"/>
      <c r="F75" s="116"/>
      <c r="G75" s="117"/>
      <c r="M75"/>
      <c r="N75"/>
      <c r="O75"/>
    </row>
    <row r="76" spans="2:15" s="113" customFormat="1" ht="15.6">
      <c r="B76"/>
      <c r="C76"/>
      <c r="D76"/>
      <c r="E76" s="116"/>
      <c r="F76" s="116"/>
      <c r="G76" s="117"/>
    </row>
    <row r="77" spans="2:15" s="113" customFormat="1" ht="15.6">
      <c r="B77"/>
      <c r="C77"/>
      <c r="D77"/>
      <c r="E77" s="116"/>
      <c r="F77" s="116"/>
      <c r="G77" s="117"/>
    </row>
    <row r="78" spans="2:15" s="113" customFormat="1" ht="15.6">
      <c r="B78"/>
      <c r="C78"/>
      <c r="D78" s="115"/>
      <c r="E78" s="116"/>
      <c r="F78" s="116"/>
      <c r="G78" s="117"/>
    </row>
    <row r="79" spans="2:15" s="113" customFormat="1">
      <c r="B79" s="945" t="s">
        <v>20</v>
      </c>
      <c r="C79" s="946" t="s">
        <v>3145</v>
      </c>
      <c r="D79" s="101"/>
      <c r="E79" s="116"/>
      <c r="F79" s="116"/>
      <c r="G79" s="117"/>
    </row>
    <row r="80" spans="2:15" s="113" customFormat="1">
      <c r="B80" s="945" t="s">
        <v>34</v>
      </c>
      <c r="C80" s="946" t="s">
        <v>34</v>
      </c>
      <c r="D80" s="101"/>
      <c r="E80" s="116"/>
      <c r="F80" s="116"/>
      <c r="G80" s="117"/>
    </row>
    <row r="81" spans="1:26" s="113" customFormat="1">
      <c r="B81" s="952" t="s">
        <v>21</v>
      </c>
      <c r="C81" s="946" t="s">
        <v>293</v>
      </c>
      <c r="D81" s="101"/>
      <c r="E81" s="116"/>
      <c r="F81" s="116"/>
      <c r="G81" s="117"/>
    </row>
    <row r="82" spans="1:26" s="113" customFormat="1">
      <c r="B82" s="385" t="s">
        <v>293</v>
      </c>
      <c r="C82" s="101"/>
      <c r="D82" s="101"/>
      <c r="E82" s="116"/>
      <c r="F82" s="116"/>
      <c r="G82" s="117"/>
    </row>
    <row r="83" spans="1:26" s="113" customFormat="1" ht="15.6">
      <c r="B83" s="951" t="s">
        <v>21</v>
      </c>
      <c r="C83" s="946" t="s">
        <v>2754</v>
      </c>
      <c r="D83" s="946" t="s">
        <v>2750</v>
      </c>
      <c r="E83" s="116"/>
      <c r="F83" s="116"/>
      <c r="G83" s="117"/>
      <c r="V83"/>
      <c r="W83"/>
      <c r="X83"/>
    </row>
    <row r="84" spans="1:26" s="113" customFormat="1" ht="15.6">
      <c r="B84" s="948" t="s">
        <v>356</v>
      </c>
      <c r="C84" s="950">
        <v>1</v>
      </c>
      <c r="D84" s="950">
        <v>0</v>
      </c>
      <c r="E84" s="116"/>
      <c r="F84" s="116"/>
      <c r="G84" s="117"/>
      <c r="V84"/>
      <c r="W84"/>
      <c r="X84"/>
    </row>
    <row r="85" spans="1:26" s="113" customFormat="1" ht="15.6">
      <c r="B85" s="948" t="s">
        <v>398</v>
      </c>
      <c r="C85" s="950">
        <v>0.51369863013698636</v>
      </c>
      <c r="D85" s="950">
        <v>0.48630136986301364</v>
      </c>
      <c r="E85" s="116"/>
      <c r="F85" s="116"/>
      <c r="G85" s="117"/>
      <c r="K85"/>
      <c r="L85"/>
      <c r="M85"/>
      <c r="V85"/>
      <c r="W85"/>
      <c r="X85"/>
    </row>
    <row r="86" spans="1:26" s="113" customFormat="1" ht="15.6">
      <c r="B86" s="948" t="s">
        <v>401</v>
      </c>
      <c r="C86" s="950">
        <v>1</v>
      </c>
      <c r="D86" s="950">
        <v>0</v>
      </c>
      <c r="E86" s="116"/>
      <c r="F86" s="116"/>
      <c r="G86" s="117"/>
      <c r="K86"/>
      <c r="L86"/>
      <c r="M86"/>
      <c r="V86"/>
      <c r="W86"/>
      <c r="X86"/>
    </row>
    <row r="87" spans="1:26" s="113" customFormat="1" ht="15.6">
      <c r="B87" s="948" t="s">
        <v>294</v>
      </c>
      <c r="C87" s="950">
        <v>1</v>
      </c>
      <c r="D87" s="950">
        <v>0</v>
      </c>
      <c r="E87" s="116"/>
      <c r="F87" s="116"/>
      <c r="G87" s="117"/>
      <c r="K87"/>
      <c r="L87"/>
      <c r="M87"/>
      <c r="V87"/>
      <c r="W87"/>
      <c r="X87"/>
    </row>
    <row r="88" spans="1:26" s="113" customFormat="1" ht="15.6">
      <c r="B88"/>
      <c r="C88"/>
      <c r="D88"/>
      <c r="E88" s="116"/>
      <c r="F88" s="116"/>
      <c r="G88" s="117"/>
      <c r="K88"/>
      <c r="L88"/>
      <c r="M88"/>
      <c r="V88"/>
      <c r="W88"/>
      <c r="X88"/>
    </row>
    <row r="89" spans="1:26" s="113" customFormat="1" ht="15.6">
      <c r="B89"/>
      <c r="C89"/>
      <c r="D89" s="115"/>
      <c r="E89" s="116"/>
      <c r="F89" s="116"/>
      <c r="G89" s="117"/>
      <c r="K89"/>
      <c r="L89"/>
      <c r="M89"/>
      <c r="T89"/>
      <c r="U89"/>
      <c r="V89"/>
      <c r="W89"/>
      <c r="X89"/>
      <c r="Y89"/>
    </row>
    <row r="90" spans="1:26" s="113" customFormat="1" ht="15.6">
      <c r="B90"/>
      <c r="C90"/>
      <c r="D90" s="115"/>
      <c r="E90" s="116"/>
      <c r="F90" s="116"/>
      <c r="G90" s="117"/>
      <c r="K90"/>
      <c r="L90"/>
      <c r="M90"/>
      <c r="T90"/>
      <c r="U90"/>
      <c r="V90"/>
    </row>
    <row r="91" spans="1:26" s="113" customFormat="1" ht="15.6">
      <c r="B91"/>
      <c r="C91"/>
      <c r="D91" s="115"/>
      <c r="E91" s="116"/>
      <c r="F91" s="116"/>
      <c r="G91" s="117"/>
      <c r="K91"/>
      <c r="L91"/>
      <c r="M91"/>
      <c r="T91"/>
      <c r="U91"/>
      <c r="V91"/>
    </row>
    <row r="92" spans="1:26" s="113" customFormat="1" ht="15.6">
      <c r="B92"/>
      <c r="C92"/>
      <c r="D92" s="115"/>
      <c r="E92" s="116"/>
      <c r="F92" s="116"/>
      <c r="G92" s="117"/>
      <c r="K92"/>
      <c r="L92"/>
      <c r="M92"/>
      <c r="T92"/>
      <c r="U92"/>
      <c r="V92"/>
    </row>
    <row r="93" spans="1:26" s="113" customFormat="1" ht="15.6">
      <c r="B93" s="114"/>
      <c r="C93" s="115"/>
      <c r="D93" s="115"/>
      <c r="E93" s="116"/>
      <c r="F93" s="116"/>
      <c r="G93" s="117"/>
      <c r="K93"/>
      <c r="L93"/>
      <c r="M93"/>
      <c r="T93"/>
      <c r="U93"/>
    </row>
    <row r="94" spans="1:26" s="113" customFormat="1" ht="15.6">
      <c r="B94" s="114"/>
      <c r="C94" s="115"/>
      <c r="D94" s="115"/>
      <c r="E94" s="116"/>
      <c r="F94" s="116"/>
      <c r="G94" s="117"/>
      <c r="T94"/>
      <c r="U94"/>
    </row>
    <row r="95" spans="1:26" s="126" customFormat="1" ht="18">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6">
      <c r="F97" s="97"/>
      <c r="G97" s="98"/>
      <c r="K97"/>
      <c r="L97"/>
    </row>
    <row r="98" spans="2:30" ht="15" thickBot="1">
      <c r="B98" s="945" t="s">
        <v>20</v>
      </c>
      <c r="C98" s="946" t="s">
        <v>3145</v>
      </c>
      <c r="E98" s="97"/>
      <c r="P98" s="945" t="s">
        <v>20</v>
      </c>
      <c r="Q98" s="946" t="s">
        <v>3145</v>
      </c>
      <c r="S98" s="689"/>
      <c r="T98" s="689"/>
    </row>
    <row r="99" spans="2:30">
      <c r="B99" s="955" t="s">
        <v>21</v>
      </c>
      <c r="C99" s="946" t="s">
        <v>293</v>
      </c>
      <c r="E99" s="128" t="s">
        <v>293</v>
      </c>
      <c r="F99" s="129" t="s">
        <v>2951</v>
      </c>
      <c r="H99" s="101" t="s">
        <v>1915</v>
      </c>
      <c r="I99" s="100">
        <f>F100</f>
        <v>5933</v>
      </c>
      <c r="P99" s="955" t="s">
        <v>21</v>
      </c>
      <c r="Q99" s="946" t="s">
        <v>293</v>
      </c>
    </row>
    <row r="100" spans="2:30">
      <c r="B100" s="945" t="s">
        <v>34</v>
      </c>
      <c r="C100" s="946" t="s">
        <v>34</v>
      </c>
      <c r="E100" s="130" t="s">
        <v>1626</v>
      </c>
      <c r="F100" s="131">
        <f>GETPIVOTDATA("Sum of #_Functional_adult_latrines",$B$102,"Location Type","# in active camps (20:1)")</f>
        <v>5933</v>
      </c>
      <c r="H100" s="101" t="s">
        <v>2950</v>
      </c>
      <c r="I100" s="100">
        <f>GETPIVOTDATA("Sum of #_Existing_latrines",$B$102,"Location Type","# in active camps (20:1)")-I99</f>
        <v>624</v>
      </c>
      <c r="P100" s="945" t="s">
        <v>34</v>
      </c>
      <c r="Q100" s="946" t="s">
        <v>34</v>
      </c>
      <c r="S100" s="689"/>
      <c r="T100" s="689"/>
    </row>
    <row r="101" spans="2:30" s="99" customFormat="1">
      <c r="B101" s="94"/>
      <c r="C101" s="94"/>
      <c r="E101" s="130" t="s">
        <v>1912</v>
      </c>
      <c r="F101" s="131">
        <f>IF(F103-F100&lt;0,0,F103-F100)</f>
        <v>66</v>
      </c>
      <c r="G101" s="131"/>
      <c r="H101" s="101"/>
      <c r="I101" s="100"/>
      <c r="M101" s="94"/>
      <c r="P101" s="94"/>
      <c r="Q101" s="94"/>
      <c r="S101" s="94"/>
      <c r="T101" s="94"/>
      <c r="U101" s="94"/>
      <c r="V101" s="94"/>
      <c r="W101" s="94"/>
      <c r="Y101" s="94"/>
      <c r="AC101" s="94"/>
      <c r="AD101" s="94"/>
    </row>
    <row r="102" spans="2:30" ht="28.8">
      <c r="B102" s="946"/>
      <c r="C102" s="945" t="s">
        <v>1866</v>
      </c>
      <c r="E102" s="130" t="s">
        <v>2633</v>
      </c>
      <c r="F102" s="131">
        <f>GETPIVOTDATA("Sum of #_latrines_repaired",$B$102,"Location Type","# in active camps (20:1)")</f>
        <v>1555</v>
      </c>
      <c r="H102" s="101"/>
      <c r="I102" s="100"/>
      <c r="M102"/>
      <c r="P102" s="945" t="s">
        <v>1619</v>
      </c>
      <c r="Q102" s="946" t="s">
        <v>1903</v>
      </c>
      <c r="R102" s="946" t="s">
        <v>2899</v>
      </c>
      <c r="S102" s="946" t="s">
        <v>3048</v>
      </c>
      <c r="T102"/>
      <c r="U102"/>
    </row>
    <row r="103" spans="2:30" ht="16.2" thickBot="1">
      <c r="B103" s="945" t="s">
        <v>1867</v>
      </c>
      <c r="C103" s="946" t="s">
        <v>3179</v>
      </c>
      <c r="E103" s="132" t="s">
        <v>1903</v>
      </c>
      <c r="F103" s="394">
        <f>GETPIVOTDATA("# latrines (target)",$B$102,"Location Type","# in active camps (20:1)")</f>
        <v>5999</v>
      </c>
      <c r="I103" s="100"/>
      <c r="M103"/>
      <c r="P103" s="948" t="s">
        <v>356</v>
      </c>
      <c r="Q103" s="956">
        <v>54</v>
      </c>
      <c r="R103" s="956">
        <v>94</v>
      </c>
      <c r="S103" s="956">
        <v>-40</v>
      </c>
      <c r="T103" s="448"/>
      <c r="U103" s="453"/>
      <c r="V103" s="390"/>
      <c r="W103" s="390"/>
      <c r="X103" s="390"/>
      <c r="Y103" s="390"/>
      <c r="Z103" s="390"/>
      <c r="AA103" s="390"/>
      <c r="AB103" s="390"/>
      <c r="AC103" s="390"/>
      <c r="AD103" s="390"/>
    </row>
    <row r="104" spans="2:30" ht="15.6">
      <c r="B104" s="948" t="s">
        <v>1903</v>
      </c>
      <c r="C104" s="956">
        <v>5999</v>
      </c>
      <c r="E104"/>
      <c r="F104"/>
      <c r="G104"/>
      <c r="M104"/>
      <c r="P104" s="948" t="s">
        <v>398</v>
      </c>
      <c r="Q104" s="956">
        <v>146</v>
      </c>
      <c r="R104" s="956">
        <v>642</v>
      </c>
      <c r="S104" s="956">
        <v>-496</v>
      </c>
      <c r="T104" s="448"/>
      <c r="U104"/>
    </row>
    <row r="105" spans="2:30" ht="15.6">
      <c r="B105" s="948" t="s">
        <v>2897</v>
      </c>
      <c r="C105" s="956">
        <v>1555</v>
      </c>
      <c r="E105"/>
      <c r="F105"/>
      <c r="G105" s="670"/>
      <c r="M105"/>
      <c r="P105" s="948" t="s">
        <v>401</v>
      </c>
      <c r="Q105" s="956">
        <v>1242</v>
      </c>
      <c r="R105" s="956">
        <v>1090</v>
      </c>
      <c r="S105" s="956">
        <v>152</v>
      </c>
      <c r="T105" s="448"/>
      <c r="U105"/>
    </row>
    <row r="106" spans="2:30" ht="15.6">
      <c r="B106" s="948" t="s">
        <v>2898</v>
      </c>
      <c r="C106" s="956">
        <v>6557</v>
      </c>
      <c r="E106"/>
      <c r="F106"/>
      <c r="G106"/>
      <c r="K106"/>
      <c r="L106"/>
      <c r="M106"/>
      <c r="P106" s="948" t="s">
        <v>294</v>
      </c>
      <c r="Q106" s="956">
        <v>4557</v>
      </c>
      <c r="R106" s="956">
        <v>4107</v>
      </c>
      <c r="S106" s="956">
        <v>450</v>
      </c>
      <c r="T106" s="448"/>
      <c r="U106"/>
    </row>
    <row r="107" spans="2:30" ht="15.6">
      <c r="B107" s="948" t="s">
        <v>2899</v>
      </c>
      <c r="C107" s="956">
        <v>5933</v>
      </c>
      <c r="E107"/>
      <c r="F107"/>
      <c r="G107"/>
      <c r="J107" s="453" t="s">
        <v>20</v>
      </c>
      <c r="K107" s="448" t="s">
        <v>3145</v>
      </c>
      <c r="L107"/>
      <c r="M107"/>
      <c r="P107"/>
      <c r="Q107"/>
      <c r="S107"/>
      <c r="T107"/>
      <c r="U107"/>
    </row>
    <row r="108" spans="2:30" ht="15.6">
      <c r="B108" s="948" t="s">
        <v>2900</v>
      </c>
      <c r="C108" s="956">
        <v>641</v>
      </c>
      <c r="E108"/>
      <c r="F108"/>
      <c r="G108"/>
      <c r="K108"/>
      <c r="L108"/>
      <c r="M108"/>
      <c r="P108"/>
      <c r="Q108"/>
      <c r="S108"/>
      <c r="T108"/>
      <c r="U108"/>
    </row>
    <row r="109" spans="2:30" ht="15.6">
      <c r="B109" s="948" t="s">
        <v>2901</v>
      </c>
      <c r="C109" s="956">
        <v>149</v>
      </c>
      <c r="E109"/>
      <c r="F109"/>
      <c r="G109"/>
      <c r="J109" s="453" t="s">
        <v>22</v>
      </c>
      <c r="K109" s="448" t="s">
        <v>2782</v>
      </c>
      <c r="L109" s="448" t="s">
        <v>2899</v>
      </c>
      <c r="M109" s="448" t="s">
        <v>2990</v>
      </c>
      <c r="P109" s="800" t="s">
        <v>22</v>
      </c>
      <c r="Q109" s="800" t="s">
        <v>1626</v>
      </c>
      <c r="R109" s="800" t="s">
        <v>1627</v>
      </c>
      <c r="S109"/>
      <c r="T109"/>
      <c r="U109"/>
    </row>
    <row r="110" spans="2:30" ht="15.6">
      <c r="C110"/>
      <c r="D110"/>
      <c r="F110"/>
      <c r="G110"/>
      <c r="J110" s="736" t="s">
        <v>356</v>
      </c>
      <c r="K110" s="733">
        <v>1084</v>
      </c>
      <c r="L110" s="733">
        <v>94</v>
      </c>
      <c r="M110" s="733">
        <v>11.531914893617021</v>
      </c>
      <c r="N110" s="119">
        <f>GETPIVOTDATA("Sum of Total PoP ",$J$109,"Township","Kyaukpyu")/GETPIVOTDATA("Sum of #_Functional_adult_latrines",$J$109,"Township","Kyaukpyu")</f>
        <v>11.531914893617021</v>
      </c>
      <c r="P110" s="801" t="s">
        <v>356</v>
      </c>
      <c r="Q110" s="813">
        <f>GETPIVOTDATA("Sum of #_Functional_adult_latrines",$P$102,"Township","Kyaukpyu")</f>
        <v>94</v>
      </c>
      <c r="R110" s="803"/>
      <c r="S110"/>
      <c r="T110"/>
      <c r="U110"/>
    </row>
    <row r="111" spans="2:30" ht="15.6">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801" t="s">
        <v>398</v>
      </c>
      <c r="Q111" s="813">
        <f>GETPIVOTDATA("Sum of #_Functional_adult_latrines",$P$102,"Township","Myebon")</f>
        <v>642</v>
      </c>
      <c r="R111" s="803"/>
    </row>
    <row r="112" spans="2:30" ht="15.6">
      <c r="B112" s="945" t="s">
        <v>20</v>
      </c>
      <c r="C112" s="946" t="s">
        <v>3145</v>
      </c>
      <c r="F112" s="101"/>
      <c r="G112" s="101"/>
      <c r="J112" s="736" t="s">
        <v>401</v>
      </c>
      <c r="K112" s="733">
        <v>24835</v>
      </c>
      <c r="L112" s="733">
        <v>1090</v>
      </c>
      <c r="M112" s="733">
        <v>25.690771994024281</v>
      </c>
      <c r="N112" s="119">
        <f>GETPIVOTDATA("Sum of Total PoP ",$J$109,"Township","Pauktaw")/GETPIVOTDATA("Sum of #_Functional_adult_latrines",$J$109,"Township","Pauktaw")</f>
        <v>22.784403669724771</v>
      </c>
      <c r="P112" s="801" t="s">
        <v>401</v>
      </c>
      <c r="Q112" s="813">
        <f>GETPIVOTDATA("Sum of #_Functional_adult_latrines",$P$102,"Township","Pauktaw")</f>
        <v>1090</v>
      </c>
      <c r="R112" s="813">
        <f>GETPIVOTDATA("Sum of Latrines_Gap",$P$102,"Township","Pauktaw")</f>
        <v>152</v>
      </c>
    </row>
    <row r="113" spans="1:21" ht="15.6">
      <c r="A113" s="392" t="s">
        <v>2632</v>
      </c>
      <c r="B113" s="955" t="s">
        <v>21</v>
      </c>
      <c r="C113" s="946" t="s">
        <v>293</v>
      </c>
      <c r="J113" s="736" t="s">
        <v>294</v>
      </c>
      <c r="K113" s="733">
        <v>91149</v>
      </c>
      <c r="L113" s="733">
        <v>4107</v>
      </c>
      <c r="M113" s="733">
        <v>23.438994117629829</v>
      </c>
      <c r="N113" s="119">
        <f>GETPIVOTDATA("Sum of Total PoP ",$J$109,"Township","Sittwe")/GETPIVOTDATA("Sum of #_Functional_adult_latrines",$J$109,"Township","Sittwe")</f>
        <v>22.193571950328707</v>
      </c>
      <c r="P113" s="802" t="s">
        <v>294</v>
      </c>
      <c r="Q113" s="814">
        <f>GETPIVOTDATA("Sum of #_Functional_adult_latrines",$P$102,"Township","Sittwe")</f>
        <v>4107</v>
      </c>
      <c r="R113" s="814">
        <f>GETPIVOTDATA("Sum of Latrines_Gap",$P$102,"Township","Sittwe")</f>
        <v>450</v>
      </c>
    </row>
    <row r="114" spans="1:21" ht="15.6">
      <c r="A114" s="392" t="s">
        <v>2631</v>
      </c>
      <c r="B114" s="945" t="s">
        <v>34</v>
      </c>
      <c r="C114" s="946" t="s">
        <v>34</v>
      </c>
      <c r="J114" s="736" t="s">
        <v>1621</v>
      </c>
      <c r="K114" s="733">
        <v>119988</v>
      </c>
      <c r="L114" s="733">
        <v>5933</v>
      </c>
      <c r="M114" s="733">
        <v>22.508570434043683</v>
      </c>
      <c r="Q114"/>
    </row>
    <row r="115" spans="1:21" ht="15.6">
      <c r="J115"/>
      <c r="K115"/>
      <c r="Q115"/>
    </row>
    <row r="116" spans="1:21" ht="15.6">
      <c r="B116" s="945" t="s">
        <v>1867</v>
      </c>
      <c r="C116" s="946"/>
      <c r="E116"/>
      <c r="F116" s="592" t="s">
        <v>2913</v>
      </c>
      <c r="G116" s="593" t="s">
        <v>2911</v>
      </c>
      <c r="H116" s="594" t="s">
        <v>2912</v>
      </c>
      <c r="O116"/>
      <c r="P116"/>
      <c r="Q116"/>
    </row>
    <row r="117" spans="1:21" ht="15.6">
      <c r="B117" s="948" t="s">
        <v>2909</v>
      </c>
      <c r="C117" s="950">
        <v>0.99750000000000005</v>
      </c>
      <c r="E117"/>
      <c r="F117" s="595" t="s">
        <v>2914</v>
      </c>
      <c r="G117" s="596">
        <f>GETPIVOTDATA("Average of %_of_Men_that_feel_safe_to_use_latrines_when_they_need_to_(or_at_day/night)'?",$B$116)</f>
        <v>0.99750000000000005</v>
      </c>
      <c r="H117" s="596">
        <f>1-G117</f>
        <v>2.4999999999999467E-3</v>
      </c>
      <c r="J117" s="177" t="s">
        <v>22</v>
      </c>
      <c r="K117" s="177" t="s">
        <v>2782</v>
      </c>
      <c r="L117" s="177" t="s">
        <v>2899</v>
      </c>
      <c r="M117" s="177" t="s">
        <v>2990</v>
      </c>
      <c r="O117"/>
      <c r="P117" s="945" t="s">
        <v>20</v>
      </c>
      <c r="Q117" s="946" t="s">
        <v>3145</v>
      </c>
      <c r="S117" s="689"/>
    </row>
    <row r="118" spans="1:21" ht="15.6">
      <c r="B118" s="948" t="s">
        <v>2910</v>
      </c>
      <c r="C118" s="950">
        <v>0.92562500000000003</v>
      </c>
      <c r="F118" s="595" t="s">
        <v>2915</v>
      </c>
      <c r="G118" s="596">
        <f>GETPIVOTDATA("Average of %_of_Women_that_feel_safe_to_use_latrines_when_they_need_to_(or_at_day/night)?",$B$116)</f>
        <v>0.92562500000000003</v>
      </c>
      <c r="H118" s="596">
        <f t="shared" ref="H118:H119" si="0">1-G118</f>
        <v>7.4374999999999969E-2</v>
      </c>
      <c r="I118" s="390"/>
      <c r="J118" s="736" t="s">
        <v>356</v>
      </c>
      <c r="K118" s="733">
        <f>GETPIVOTDATA("Sum of Total PoP ",$J$109,"Township","Kyaukpyu")</f>
        <v>1084</v>
      </c>
      <c r="L118" s="733">
        <f>GETPIVOTDATA("Sum of #_Functional_adult_latrines",$J$109,"Township","Kyaukpyu")</f>
        <v>94</v>
      </c>
      <c r="M118" s="119">
        <f>K118/L118</f>
        <v>11.531914893617021</v>
      </c>
      <c r="N118" s="390"/>
      <c r="O118"/>
      <c r="P118" s="955" t="s">
        <v>21</v>
      </c>
      <c r="Q118" s="946" t="s">
        <v>293</v>
      </c>
    </row>
    <row r="119" spans="1:21" ht="15.6">
      <c r="B119" s="948" t="s">
        <v>3118</v>
      </c>
      <c r="C119" s="950">
        <v>0.63687499999999997</v>
      </c>
      <c r="F119" s="595" t="s">
        <v>3119</v>
      </c>
      <c r="G119" s="596">
        <f>GETPIVOTDATA("Average of %_of_Children_that_feel_safe_to_use_latrines_when_they_need_to_(or_at_day/night)?",$B$116)</f>
        <v>0.63687499999999997</v>
      </c>
      <c r="H119" s="596">
        <f t="shared" si="0"/>
        <v>0.36312500000000003</v>
      </c>
      <c r="J119" s="736" t="s">
        <v>398</v>
      </c>
      <c r="K119" s="733">
        <f>GETPIVOTDATA("Sum of Total PoP ",$J$109,"Township","Myebon")</f>
        <v>2920</v>
      </c>
      <c r="L119" s="733">
        <f>GETPIVOTDATA("Sum of #_Functional_adult_latrines",$J$109,"Township","Myebon")</f>
        <v>642</v>
      </c>
      <c r="M119" s="119">
        <f t="shared" ref="M119:M121" si="1">K119/L119</f>
        <v>4.5482866043613708</v>
      </c>
      <c r="O119"/>
      <c r="P119" s="945" t="s">
        <v>34</v>
      </c>
      <c r="Q119" s="946" t="s">
        <v>34</v>
      </c>
      <c r="S119" s="689"/>
    </row>
    <row r="120" spans="1:21" ht="15.6">
      <c r="B120"/>
      <c r="C120"/>
      <c r="E120" s="448"/>
      <c r="J120" s="736" t="s">
        <v>401</v>
      </c>
      <c r="K120" s="733">
        <f>GETPIVOTDATA("Sum of Total PoP ",$J$109,"Township","Pauktaw")</f>
        <v>24835</v>
      </c>
      <c r="L120" s="733">
        <f>GETPIVOTDATA("Sum of #_Functional_adult_latrines",$J$109,"Township","Pauktaw")</f>
        <v>1090</v>
      </c>
      <c r="M120" s="119">
        <f t="shared" si="1"/>
        <v>22.784403669724771</v>
      </c>
      <c r="O120"/>
      <c r="R120" s="99"/>
    </row>
    <row r="121" spans="1:21" ht="15.6">
      <c r="B121" s="101"/>
      <c r="C121"/>
      <c r="D121"/>
      <c r="E121" s="134"/>
      <c r="J121" s="736" t="s">
        <v>294</v>
      </c>
      <c r="K121" s="733">
        <f>GETPIVOTDATA("Sum of Total PoP ",$J$109,"Township","Sittwe")</f>
        <v>91149</v>
      </c>
      <c r="L121" s="733">
        <f>GETPIVOTDATA("Sum of #_Functional_adult_latrines",$J$109,"Township","Sittwe")</f>
        <v>4107</v>
      </c>
      <c r="M121" s="119">
        <f t="shared" si="1"/>
        <v>22.193571950328707</v>
      </c>
      <c r="O121"/>
      <c r="P121" s="945" t="s">
        <v>1619</v>
      </c>
      <c r="Q121" s="946" t="s">
        <v>3049</v>
      </c>
      <c r="R121" s="946" t="s">
        <v>2941</v>
      </c>
      <c r="S121"/>
      <c r="T121" s="390"/>
      <c r="U121" s="390"/>
    </row>
    <row r="122" spans="1:21" ht="15.6">
      <c r="B122" s="101"/>
      <c r="C122"/>
      <c r="D122"/>
      <c r="E122" s="134"/>
      <c r="O122"/>
      <c r="P122" s="948" t="s">
        <v>356</v>
      </c>
      <c r="Q122" s="956">
        <v>54</v>
      </c>
      <c r="R122" s="956">
        <v>94</v>
      </c>
      <c r="S122"/>
      <c r="T122" s="134"/>
      <c r="U122" s="134"/>
    </row>
    <row r="123" spans="1:21" ht="15.6">
      <c r="B123" s="101"/>
      <c r="C123"/>
      <c r="D123"/>
      <c r="E123" s="98"/>
      <c r="J123" s="101"/>
      <c r="O123"/>
      <c r="P123" s="948" t="s">
        <v>398</v>
      </c>
      <c r="Q123" s="956">
        <v>146</v>
      </c>
      <c r="R123" s="956">
        <v>642</v>
      </c>
      <c r="S123"/>
    </row>
    <row r="124" spans="1:21" ht="15.6">
      <c r="B124" s="101"/>
      <c r="C124" s="96"/>
      <c r="D124" s="98"/>
      <c r="E124" s="98"/>
      <c r="J124" s="101"/>
      <c r="O124"/>
      <c r="P124" s="948" t="s">
        <v>401</v>
      </c>
      <c r="Q124" s="956">
        <v>1242</v>
      </c>
      <c r="R124" s="956">
        <v>1090</v>
      </c>
      <c r="S124"/>
    </row>
    <row r="125" spans="1:21" ht="15.6">
      <c r="B125" s="101"/>
      <c r="C125" s="96"/>
      <c r="D125" s="98"/>
      <c r="E125" s="98"/>
      <c r="F125" s="101"/>
      <c r="G125" s="101"/>
      <c r="J125" s="101"/>
      <c r="O125"/>
      <c r="P125" s="948" t="s">
        <v>294</v>
      </c>
      <c r="Q125" s="956">
        <v>4557</v>
      </c>
      <c r="R125" s="956">
        <v>4107</v>
      </c>
      <c r="S125"/>
    </row>
    <row r="126" spans="1:21" ht="15.6">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945" t="s">
        <v>20</v>
      </c>
      <c r="C129" s="946" t="s">
        <v>3145</v>
      </c>
      <c r="E129" s="101"/>
      <c r="F129" s="945" t="s">
        <v>20</v>
      </c>
      <c r="G129" s="946" t="s">
        <v>3145</v>
      </c>
      <c r="Q129" s="101"/>
      <c r="R129" s="101"/>
      <c r="S129" s="101"/>
    </row>
    <row r="130" spans="1:21">
      <c r="A130" s="101"/>
      <c r="B130" s="945" t="s">
        <v>34</v>
      </c>
      <c r="C130" s="946" t="s">
        <v>34</v>
      </c>
      <c r="E130" s="101"/>
      <c r="F130" s="945" t="s">
        <v>34</v>
      </c>
      <c r="G130" s="946" t="s">
        <v>34</v>
      </c>
      <c r="Q130" s="101"/>
      <c r="R130" s="101"/>
      <c r="S130" s="101"/>
    </row>
    <row r="131" spans="1:21">
      <c r="A131" s="101"/>
      <c r="B131" s="945" t="s">
        <v>123</v>
      </c>
      <c r="C131" s="946" t="s">
        <v>43</v>
      </c>
      <c r="E131" s="101"/>
      <c r="Q131" s="101"/>
      <c r="R131" s="101"/>
      <c r="S131" s="101"/>
    </row>
    <row r="132" spans="1:21">
      <c r="A132" s="101"/>
      <c r="E132" s="101"/>
      <c r="F132" s="946" t="s">
        <v>2919</v>
      </c>
      <c r="G132" s="946" t="s">
        <v>2900</v>
      </c>
      <c r="H132" s="390"/>
      <c r="N132" s="390"/>
      <c r="O132" s="390"/>
      <c r="P132" s="390"/>
      <c r="Q132" s="600"/>
      <c r="R132" s="600"/>
      <c r="S132" s="600"/>
      <c r="T132" s="390"/>
      <c r="U132" s="390"/>
    </row>
    <row r="133" spans="1:21" ht="15.6">
      <c r="A133" s="101"/>
      <c r="B133" s="945" t="s">
        <v>2918</v>
      </c>
      <c r="C133" s="945" t="s">
        <v>1866</v>
      </c>
      <c r="D133" s="946"/>
      <c r="E133"/>
      <c r="F133" s="949">
        <v>16412</v>
      </c>
      <c r="G133" s="949">
        <v>641</v>
      </c>
    </row>
    <row r="134" spans="1:21" ht="15.6">
      <c r="A134" s="101"/>
      <c r="B134" s="945" t="s">
        <v>21</v>
      </c>
      <c r="C134" s="946" t="s">
        <v>41</v>
      </c>
      <c r="D134" s="946" t="s">
        <v>125</v>
      </c>
      <c r="E134"/>
      <c r="F134" s="390"/>
      <c r="G134" s="390"/>
      <c r="H134" s="390"/>
      <c r="I134" s="390"/>
      <c r="N134" s="390"/>
      <c r="O134" s="390"/>
      <c r="P134" s="390"/>
      <c r="Q134" s="390"/>
      <c r="R134" s="390"/>
      <c r="S134" s="390"/>
    </row>
    <row r="135" spans="1:21" ht="15.6">
      <c r="A135" s="101"/>
      <c r="B135" s="948" t="s">
        <v>293</v>
      </c>
      <c r="C135" s="949">
        <v>20</v>
      </c>
      <c r="D135" s="949">
        <v>1</v>
      </c>
      <c r="E135"/>
      <c r="F135" s="591" t="s">
        <v>2920</v>
      </c>
      <c r="G135" s="601" t="s">
        <v>2922</v>
      </c>
      <c r="H135" s="601" t="s">
        <v>2921</v>
      </c>
    </row>
    <row r="136" spans="1:21" ht="15.6">
      <c r="A136" s="101"/>
      <c r="B136"/>
      <c r="C136"/>
      <c r="D136"/>
      <c r="E136" s="101"/>
      <c r="F136" s="597">
        <f>GETPIVOTDATA("Sum of # of Total_People with disabilities",$F$132)</f>
        <v>16412</v>
      </c>
      <c r="G136" s="599">
        <f>GETPIVOTDATA("Sum of #_of_PWD_with_adapted_sanitation_option",$F$132)</f>
        <v>641</v>
      </c>
      <c r="H136" s="599">
        <f>F136-G136</f>
        <v>15771</v>
      </c>
    </row>
    <row r="137" spans="1:21" ht="15.6">
      <c r="A137" s="101"/>
      <c r="B137"/>
      <c r="C137"/>
      <c r="D137"/>
      <c r="E137" s="101"/>
      <c r="F137" s="101"/>
      <c r="G137"/>
    </row>
    <row r="138" spans="1:21" ht="15.6">
      <c r="A138" s="101"/>
      <c r="B138" s="101"/>
      <c r="C138" s="101"/>
      <c r="D138" s="101"/>
      <c r="E138" s="101"/>
      <c r="F138" s="101"/>
      <c r="G138"/>
    </row>
    <row r="139" spans="1:21" ht="15.6">
      <c r="A139" s="101"/>
      <c r="B139" s="138" t="s">
        <v>1619</v>
      </c>
      <c r="C139" s="396" t="s">
        <v>41</v>
      </c>
      <c r="D139" s="598" t="s">
        <v>125</v>
      </c>
      <c r="E139" s="101"/>
      <c r="F139" s="101"/>
      <c r="G139"/>
    </row>
    <row r="140" spans="1:21">
      <c r="A140" s="101"/>
      <c r="B140" s="135" t="s">
        <v>293</v>
      </c>
      <c r="C140" s="136">
        <f>GETPIVOTDATA("Is_there_an_effective_solid_waste_management_system_in_place?",$B$133,"State","Rakhine","Is_there_an_effective_solid_waste_management_system_in_place?","Yes")</f>
        <v>20</v>
      </c>
      <c r="D140" s="137">
        <v>0</v>
      </c>
      <c r="E140" s="101"/>
      <c r="F140" s="101"/>
      <c r="G140" s="101"/>
      <c r="Q140" s="101"/>
      <c r="R140" s="101"/>
      <c r="S140" s="101"/>
    </row>
    <row r="141" spans="1:21">
      <c r="A141" s="101"/>
      <c r="B141" s="101"/>
      <c r="C141" s="101"/>
      <c r="D141" s="101"/>
      <c r="E141" s="101"/>
      <c r="F141" s="101"/>
    </row>
    <row r="142" spans="1:21">
      <c r="B142" s="133"/>
      <c r="C142" s="134"/>
      <c r="D142" s="134"/>
      <c r="E142" s="134"/>
      <c r="F142" s="134"/>
    </row>
    <row r="147" spans="2:14" ht="15.6">
      <c r="E147"/>
      <c r="F147"/>
      <c r="G147"/>
      <c r="H147" s="101"/>
      <c r="I147" s="101"/>
      <c r="J147" s="101"/>
      <c r="K147" s="101"/>
    </row>
    <row r="148" spans="2:14" ht="15.6">
      <c r="E148"/>
      <c r="F148"/>
      <c r="G148"/>
      <c r="H148" s="101"/>
      <c r="I148" s="101"/>
      <c r="J148" s="101"/>
      <c r="K148" s="101"/>
    </row>
    <row r="149" spans="2:14" ht="15.6">
      <c r="E149"/>
      <c r="F149"/>
      <c r="G149"/>
      <c r="H149" s="101"/>
      <c r="I149" s="101"/>
      <c r="J149" s="101"/>
      <c r="K149" s="101"/>
    </row>
    <row r="150" spans="2:14" ht="15.6">
      <c r="E150"/>
      <c r="F150"/>
      <c r="G150"/>
      <c r="H150" s="101"/>
      <c r="I150" s="101"/>
      <c r="J150" s="101"/>
      <c r="K150" s="101"/>
    </row>
    <row r="151" spans="2:14" ht="15.6">
      <c r="E151"/>
      <c r="F151"/>
      <c r="G151"/>
      <c r="H151" s="101"/>
      <c r="I151" s="101"/>
      <c r="J151" s="101"/>
      <c r="K151" s="101"/>
    </row>
    <row r="152" spans="2:14">
      <c r="E152" s="101"/>
      <c r="F152" s="101"/>
      <c r="G152" s="101"/>
      <c r="H152" s="101"/>
      <c r="I152" s="101"/>
    </row>
    <row r="156" spans="2:14">
      <c r="J156" s="821"/>
      <c r="K156" s="821"/>
    </row>
    <row r="157" spans="2:14" ht="15.6">
      <c r="B157" s="448"/>
      <c r="C157" s="448"/>
      <c r="D157" s="448"/>
      <c r="E157" s="448"/>
      <c r="J157" s="97"/>
      <c r="K157" s="97"/>
    </row>
    <row r="158" spans="2:14" ht="15.6">
      <c r="B158" s="448"/>
      <c r="C158" s="448"/>
      <c r="D158" s="448"/>
      <c r="E158" s="448"/>
      <c r="J158"/>
      <c r="K158"/>
      <c r="L158"/>
      <c r="M158"/>
    </row>
    <row r="159" spans="2:14" ht="15.6">
      <c r="B159" s="945" t="s">
        <v>20</v>
      </c>
      <c r="C159" s="946" t="s">
        <v>3145</v>
      </c>
      <c r="D159" s="101"/>
      <c r="E159" s="448"/>
      <c r="J159"/>
      <c r="K159"/>
      <c r="L159"/>
      <c r="M159"/>
      <c r="N159" s="115"/>
    </row>
    <row r="160" spans="2:14" ht="15.6">
      <c r="B160" s="945" t="s">
        <v>34</v>
      </c>
      <c r="C160" s="946" t="s">
        <v>34</v>
      </c>
      <c r="D160" s="101"/>
      <c r="E160" s="448"/>
      <c r="J160"/>
      <c r="K160"/>
      <c r="L160"/>
      <c r="M160"/>
    </row>
    <row r="161" spans="2:14" ht="15.6">
      <c r="B161" s="954" t="s">
        <v>21</v>
      </c>
      <c r="C161" s="946" t="s">
        <v>293</v>
      </c>
      <c r="D161" s="101"/>
      <c r="E161" s="448"/>
      <c r="J161"/>
      <c r="K161"/>
      <c r="L161"/>
      <c r="M161"/>
    </row>
    <row r="162" spans="2:14" ht="15.6">
      <c r="B162" s="391"/>
      <c r="C162" s="101"/>
      <c r="D162" s="101"/>
      <c r="E162" s="448"/>
      <c r="J162"/>
      <c r="K162"/>
      <c r="L162"/>
      <c r="M162"/>
    </row>
    <row r="163" spans="2:14" ht="15.6">
      <c r="B163" s="951" t="s">
        <v>21</v>
      </c>
      <c r="C163" s="946" t="s">
        <v>2755</v>
      </c>
      <c r="D163" s="946" t="s">
        <v>2756</v>
      </c>
      <c r="E163" s="448"/>
      <c r="J163"/>
      <c r="K163"/>
      <c r="L163"/>
      <c r="M163"/>
    </row>
    <row r="164" spans="2:14" ht="15.6">
      <c r="B164" s="948" t="s">
        <v>356</v>
      </c>
      <c r="C164" s="950">
        <v>1</v>
      </c>
      <c r="D164" s="950">
        <v>0</v>
      </c>
      <c r="E164" s="448"/>
      <c r="J164"/>
      <c r="K164"/>
      <c r="L164"/>
      <c r="M164"/>
    </row>
    <row r="165" spans="2:14" ht="15.6">
      <c r="B165" s="948" t="s">
        <v>398</v>
      </c>
      <c r="C165" s="950">
        <v>1</v>
      </c>
      <c r="D165" s="950">
        <v>0</v>
      </c>
      <c r="E165" s="448"/>
      <c r="J165"/>
      <c r="K165"/>
      <c r="L165"/>
      <c r="M165"/>
    </row>
    <row r="166" spans="2:14" ht="15.6">
      <c r="B166" s="948" t="s">
        <v>401</v>
      </c>
      <c r="C166" s="950">
        <v>0.81211999194684925</v>
      </c>
      <c r="D166" s="950">
        <v>0.18788000805315075</v>
      </c>
      <c r="E166" s="448"/>
      <c r="J166"/>
      <c r="K166"/>
      <c r="L166"/>
      <c r="M166"/>
    </row>
    <row r="167" spans="2:14" ht="15.6">
      <c r="B167" s="948" t="s">
        <v>294</v>
      </c>
      <c r="C167" s="950">
        <v>0.85999846405336322</v>
      </c>
      <c r="D167" s="950">
        <v>0.14000153594663678</v>
      </c>
      <c r="E167" s="448"/>
      <c r="J167"/>
      <c r="K167"/>
      <c r="L167"/>
      <c r="M167"/>
    </row>
    <row r="168" spans="2:14" ht="15.6">
      <c r="B168"/>
      <c r="C168"/>
      <c r="D168"/>
      <c r="E168" s="448"/>
      <c r="J168"/>
      <c r="K168"/>
      <c r="L168"/>
      <c r="M168"/>
    </row>
    <row r="169" spans="2:14" ht="15.6">
      <c r="B169" s="448"/>
      <c r="C169" s="448"/>
      <c r="D169" s="448"/>
      <c r="E169" s="448"/>
      <c r="J169"/>
      <c r="K169"/>
      <c r="L169"/>
      <c r="M169"/>
    </row>
    <row r="170" spans="2:14" ht="15.6">
      <c r="B170" s="448"/>
      <c r="C170" s="448"/>
      <c r="D170" s="448"/>
      <c r="E170" s="448"/>
      <c r="J170"/>
      <c r="K170"/>
      <c r="L170"/>
      <c r="M170"/>
      <c r="N170"/>
    </row>
    <row r="171" spans="2:14" ht="15.6">
      <c r="B171"/>
      <c r="C171"/>
      <c r="D171"/>
      <c r="J171"/>
      <c r="K171"/>
      <c r="L171"/>
      <c r="M171"/>
      <c r="N171"/>
    </row>
    <row r="172" spans="2:14" ht="15.6">
      <c r="B172"/>
      <c r="C172"/>
      <c r="D172"/>
      <c r="J172"/>
      <c r="K172"/>
      <c r="L172"/>
      <c r="M172"/>
      <c r="N172"/>
    </row>
    <row r="173" spans="2:14" ht="15.6">
      <c r="B173"/>
      <c r="C173"/>
      <c r="D173"/>
      <c r="J173"/>
      <c r="K173"/>
      <c r="L173"/>
      <c r="M173"/>
      <c r="N173"/>
    </row>
    <row r="174" spans="2:14" ht="15.6">
      <c r="B174"/>
      <c r="C174"/>
      <c r="D174"/>
      <c r="J174"/>
      <c r="K174"/>
      <c r="L174"/>
      <c r="M174"/>
      <c r="N174"/>
    </row>
    <row r="175" spans="2:14" ht="15.6">
      <c r="B175"/>
      <c r="C175"/>
      <c r="D175"/>
      <c r="J175"/>
      <c r="K175"/>
      <c r="L175"/>
      <c r="M175"/>
      <c r="N175"/>
    </row>
    <row r="176" spans="2:14" ht="15.6">
      <c r="B176" s="960" t="s">
        <v>34</v>
      </c>
      <c r="C176" s="950" t="s">
        <v>34</v>
      </c>
      <c r="D176"/>
      <c r="J176"/>
      <c r="K176"/>
      <c r="L176"/>
      <c r="M176"/>
      <c r="N176"/>
    </row>
    <row r="177" spans="1:26" ht="15.6">
      <c r="B177" s="97"/>
      <c r="C177" s="97"/>
      <c r="D177"/>
      <c r="J177"/>
      <c r="K177"/>
      <c r="L177"/>
      <c r="M177"/>
      <c r="N177"/>
    </row>
    <row r="178" spans="1:26" ht="15.6">
      <c r="B178" s="960" t="s">
        <v>21</v>
      </c>
      <c r="C178" s="950" t="s">
        <v>2901</v>
      </c>
      <c r="D178" s="953" t="s">
        <v>3120</v>
      </c>
      <c r="E178" s="953" t="s">
        <v>2897</v>
      </c>
      <c r="F178" s="390"/>
      <c r="G178" s="390"/>
      <c r="H178" s="390"/>
      <c r="I178" s="390"/>
      <c r="J178"/>
      <c r="K178"/>
      <c r="L178"/>
      <c r="M178"/>
      <c r="N178" s="448"/>
    </row>
    <row r="179" spans="1:26" ht="15.6">
      <c r="B179" s="961" t="s">
        <v>3144</v>
      </c>
      <c r="C179" s="956">
        <v>222</v>
      </c>
      <c r="D179" s="953">
        <v>759</v>
      </c>
      <c r="E179" s="953">
        <v>645</v>
      </c>
      <c r="J179"/>
      <c r="K179"/>
      <c r="L179"/>
      <c r="M179"/>
      <c r="N179"/>
    </row>
    <row r="180" spans="1:26" ht="15.6">
      <c r="B180" s="961" t="s">
        <v>3145</v>
      </c>
      <c r="C180" s="956">
        <v>149</v>
      </c>
      <c r="D180" s="953">
        <v>2885</v>
      </c>
      <c r="E180" s="953">
        <v>1555</v>
      </c>
      <c r="J180"/>
      <c r="K180"/>
      <c r="L180"/>
      <c r="M180"/>
      <c r="N180"/>
    </row>
    <row r="181" spans="1:26" ht="15.6">
      <c r="B181"/>
      <c r="C181"/>
      <c r="D181"/>
      <c r="E181"/>
      <c r="M181"/>
      <c r="N181"/>
    </row>
    <row r="182" spans="1:26" ht="15.6">
      <c r="B182"/>
      <c r="C182"/>
      <c r="D182"/>
      <c r="E182"/>
      <c r="M182"/>
      <c r="N182"/>
    </row>
    <row r="183" spans="1:26" ht="15.6">
      <c r="B183"/>
      <c r="C183"/>
      <c r="D183"/>
      <c r="J183"/>
      <c r="K183"/>
      <c r="L183"/>
      <c r="M183"/>
      <c r="N183"/>
      <c r="S183"/>
      <c r="T183"/>
      <c r="U183"/>
    </row>
    <row r="184" spans="1:26" ht="15.6">
      <c r="J184"/>
      <c r="K184"/>
      <c r="L184"/>
      <c r="S184"/>
      <c r="T184"/>
    </row>
    <row r="185" spans="1:26" ht="15.6">
      <c r="B185" s="101"/>
      <c r="C185" s="101"/>
      <c r="D185" s="101"/>
      <c r="S185"/>
      <c r="T185"/>
    </row>
    <row r="186" spans="1:26" ht="18">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6">
      <c r="S187"/>
      <c r="T187"/>
    </row>
    <row r="189" spans="1:26">
      <c r="B189" s="945" t="s">
        <v>20</v>
      </c>
      <c r="C189" s="946" t="s">
        <v>3145</v>
      </c>
      <c r="D189" s="101"/>
      <c r="J189" s="118" t="s">
        <v>293</v>
      </c>
    </row>
    <row r="190" spans="1:26">
      <c r="B190" s="945" t="s">
        <v>34</v>
      </c>
      <c r="C190" s="946" t="s">
        <v>34</v>
      </c>
      <c r="I190" s="735" t="s">
        <v>1918</v>
      </c>
      <c r="J190" s="94">
        <f>GETPIVOTDATA("Sum of Total PoP ",$B$193,"State","Rakhine")</f>
        <v>119988</v>
      </c>
      <c r="K190" s="94">
        <f>J190*30%</f>
        <v>35996.400000000001</v>
      </c>
      <c r="M190" s="98"/>
    </row>
    <row r="191" spans="1:26">
      <c r="B191" s="945" t="s">
        <v>123</v>
      </c>
      <c r="C191" s="946" t="s">
        <v>43</v>
      </c>
      <c r="D191" s="101"/>
    </row>
    <row r="192" spans="1:26">
      <c r="J192" s="118" t="s">
        <v>34</v>
      </c>
      <c r="K192" s="118" t="s">
        <v>1627</v>
      </c>
    </row>
    <row r="193" spans="2:18">
      <c r="B193" s="945" t="s">
        <v>1619</v>
      </c>
      <c r="C193" s="946" t="s">
        <v>2782</v>
      </c>
      <c r="D193" s="946" t="s">
        <v>1897</v>
      </c>
      <c r="E193" s="946" t="s">
        <v>2923</v>
      </c>
      <c r="F193" s="946" t="s">
        <v>3041</v>
      </c>
      <c r="G193" s="946" t="s">
        <v>3042</v>
      </c>
      <c r="I193" s="735" t="s">
        <v>2987</v>
      </c>
      <c r="J193" s="119">
        <f>GETPIVOTDATA("Sum of # people reached by regular dedicated hygiene promotion_5",$B$193,"State","Rakhine")</f>
        <v>56731</v>
      </c>
      <c r="K193" s="119">
        <f>$J$190-J193</f>
        <v>63257</v>
      </c>
    </row>
    <row r="194" spans="2:18">
      <c r="B194" s="948" t="s">
        <v>293</v>
      </c>
      <c r="C194" s="949">
        <v>119988</v>
      </c>
      <c r="D194" s="949">
        <v>56731</v>
      </c>
      <c r="E194" s="949">
        <v>39306</v>
      </c>
      <c r="F194" s="949">
        <v>22765</v>
      </c>
      <c r="G194" s="949">
        <v>23108</v>
      </c>
      <c r="I194" s="788" t="s">
        <v>3040</v>
      </c>
      <c r="J194" s="119">
        <f>GETPIVOTDATA("Sum of #_of_affected_households_receiving_a_sufficient_quantity_of_soap",$B$193,"State","Rakhine")</f>
        <v>22765</v>
      </c>
      <c r="K194" s="119">
        <f>GETPIVOTDATA("Sum of Total HH",$B$193,"State","Rakhine")-J194</f>
        <v>343</v>
      </c>
    </row>
    <row r="195" spans="2:18">
      <c r="B195" s="948" t="s">
        <v>1621</v>
      </c>
      <c r="C195" s="949">
        <v>119988</v>
      </c>
      <c r="D195" s="949">
        <v>56731</v>
      </c>
      <c r="E195" s="949">
        <v>39306</v>
      </c>
      <c r="F195" s="949">
        <v>22765</v>
      </c>
      <c r="G195" s="949">
        <v>23108</v>
      </c>
      <c r="I195" s="735" t="s">
        <v>2985</v>
      </c>
      <c r="J195" s="119">
        <f>GETPIVOTDATA("Sum of #_of_affected_women_and_girls_receiving_a_sufficient_quantity_of_sanitary_pads",$B$193,"State","Rakhine")</f>
        <v>39306</v>
      </c>
      <c r="K195" s="119">
        <f>IF(K190-J195&lt;0,0,K190-J195)</f>
        <v>0</v>
      </c>
    </row>
    <row r="196" spans="2:18" ht="15.6">
      <c r="B196"/>
      <c r="C196"/>
      <c r="D196"/>
      <c r="E196"/>
      <c r="F196"/>
      <c r="G196"/>
    </row>
    <row r="197" spans="2:18" ht="15.6">
      <c r="B197"/>
      <c r="C197"/>
      <c r="D197"/>
      <c r="E197"/>
      <c r="F197"/>
      <c r="G197"/>
    </row>
    <row r="198" spans="2:18" ht="15.6">
      <c r="B198"/>
      <c r="C198"/>
      <c r="D198"/>
      <c r="E198"/>
      <c r="F198"/>
      <c r="G198"/>
      <c r="Q198" s="103"/>
      <c r="R198" s="103"/>
    </row>
    <row r="199" spans="2:18">
      <c r="B199" s="101"/>
      <c r="C199" s="101"/>
      <c r="D199" s="101"/>
    </row>
    <row r="200" spans="2:18">
      <c r="B200" s="101"/>
      <c r="C200" s="101"/>
      <c r="D200" s="101"/>
    </row>
    <row r="201" spans="2:18">
      <c r="B201" s="101"/>
      <c r="C201" s="101"/>
      <c r="D201" s="101"/>
    </row>
    <row r="202" spans="2:18" ht="15.6">
      <c r="B202" s="448"/>
      <c r="C202" s="448"/>
      <c r="D202" s="448"/>
      <c r="E202" s="448"/>
      <c r="H202" s="115"/>
      <c r="I202" s="115"/>
      <c r="J202" s="115"/>
      <c r="K202" s="115"/>
      <c r="L202" s="115"/>
    </row>
    <row r="203" spans="2:18" ht="15.6">
      <c r="B203" s="347"/>
      <c r="C203" s="347"/>
      <c r="D203" s="347"/>
      <c r="E203" s="347"/>
      <c r="F203" s="347"/>
      <c r="G203" s="347"/>
      <c r="K203" s="448"/>
      <c r="L203" s="448"/>
      <c r="M203" s="448"/>
    </row>
    <row r="204" spans="2:18" ht="15.6">
      <c r="B204"/>
      <c r="C204"/>
      <c r="D204" s="115"/>
      <c r="K204" s="448"/>
      <c r="L204" s="448"/>
      <c r="M204" s="448"/>
    </row>
    <row r="205" spans="2:18" ht="15.6">
      <c r="B205" s="945" t="s">
        <v>20</v>
      </c>
      <c r="C205" s="946" t="s">
        <v>3145</v>
      </c>
      <c r="D205" s="101"/>
      <c r="K205" s="448"/>
      <c r="L205" s="448"/>
      <c r="M205" s="448"/>
    </row>
    <row r="206" spans="2:18" ht="15.6">
      <c r="B206" s="945" t="s">
        <v>34</v>
      </c>
      <c r="C206" s="946" t="s">
        <v>34</v>
      </c>
      <c r="D206" s="101"/>
      <c r="K206" s="448"/>
      <c r="L206" s="448"/>
      <c r="M206" s="448"/>
    </row>
    <row r="207" spans="2:18" ht="15.6">
      <c r="B207" s="954" t="s">
        <v>21</v>
      </c>
      <c r="C207" s="946" t="s">
        <v>293</v>
      </c>
      <c r="D207" s="101"/>
      <c r="K207" s="448"/>
      <c r="L207" s="448"/>
      <c r="M207" s="448"/>
    </row>
    <row r="208" spans="2:18" ht="15.6">
      <c r="B208" s="391"/>
      <c r="C208" s="101"/>
      <c r="D208" s="101"/>
      <c r="K208" s="448"/>
      <c r="L208" s="448"/>
      <c r="M208" s="448"/>
    </row>
    <row r="209" spans="2:25" ht="15.6">
      <c r="B209" s="951" t="s">
        <v>21</v>
      </c>
      <c r="C209" s="946" t="s">
        <v>2757</v>
      </c>
      <c r="D209" s="946" t="s">
        <v>2753</v>
      </c>
      <c r="K209" s="448"/>
      <c r="L209" s="448"/>
      <c r="M209" s="448"/>
    </row>
    <row r="210" spans="2:25" ht="15.6">
      <c r="B210" s="948" t="s">
        <v>356</v>
      </c>
      <c r="C210" s="950">
        <v>1</v>
      </c>
      <c r="D210" s="950">
        <v>0</v>
      </c>
      <c r="K210" s="448"/>
      <c r="L210" s="448"/>
      <c r="M210" s="448"/>
    </row>
    <row r="211" spans="2:25" ht="15.6">
      <c r="B211" s="948" t="s">
        <v>398</v>
      </c>
      <c r="C211" s="950">
        <v>0</v>
      </c>
      <c r="D211" s="950">
        <v>1</v>
      </c>
      <c r="K211" s="448"/>
      <c r="L211" s="448"/>
      <c r="M211" s="448"/>
    </row>
    <row r="212" spans="2:25" ht="15.6">
      <c r="B212" s="948" t="s">
        <v>401</v>
      </c>
      <c r="C212" s="950">
        <v>1</v>
      </c>
      <c r="D212" s="950">
        <v>0</v>
      </c>
      <c r="K212" s="448"/>
      <c r="L212" s="448"/>
      <c r="M212" s="448"/>
    </row>
    <row r="213" spans="2:25" ht="15.6">
      <c r="B213" s="948" t="s">
        <v>294</v>
      </c>
      <c r="C213" s="950">
        <v>0.9984396321050798</v>
      </c>
      <c r="D213" s="950">
        <v>1.5603678949202004E-3</v>
      </c>
      <c r="K213"/>
      <c r="L213"/>
      <c r="M213"/>
      <c r="U213"/>
      <c r="V213"/>
      <c r="W213"/>
    </row>
    <row r="214" spans="2:25" ht="15.6">
      <c r="B214"/>
      <c r="C214"/>
      <c r="D214"/>
      <c r="K214"/>
      <c r="L214"/>
      <c r="M214"/>
      <c r="U214"/>
      <c r="V214"/>
      <c r="W214"/>
    </row>
    <row r="215" spans="2:25" ht="15.6">
      <c r="B215"/>
      <c r="C215"/>
      <c r="D215"/>
      <c r="K215"/>
      <c r="L215"/>
      <c r="M215"/>
    </row>
    <row r="216" spans="2:25" ht="15.6">
      <c r="B216"/>
      <c r="C216"/>
      <c r="D216"/>
      <c r="K216"/>
      <c r="L216"/>
      <c r="M216"/>
    </row>
    <row r="217" spans="2:25" ht="15.6">
      <c r="B217"/>
      <c r="C217"/>
      <c r="D217"/>
      <c r="K217"/>
      <c r="L217"/>
      <c r="M217"/>
    </row>
    <row r="218" spans="2:25" ht="15.6">
      <c r="B218"/>
      <c r="C218"/>
      <c r="D218"/>
      <c r="K218"/>
      <c r="L218"/>
      <c r="M218"/>
      <c r="O218" s="743"/>
      <c r="P218" s="743"/>
    </row>
    <row r="219" spans="2:25" ht="15.6">
      <c r="B219" s="945" t="s">
        <v>20</v>
      </c>
      <c r="C219" s="946" t="s">
        <v>3145</v>
      </c>
      <c r="K219"/>
      <c r="L219"/>
      <c r="M219"/>
      <c r="O219" s="743"/>
      <c r="P219" s="743"/>
      <c r="Q219" s="101"/>
    </row>
    <row r="220" spans="2:25" ht="15.6">
      <c r="B220" s="945" t="s">
        <v>34</v>
      </c>
      <c r="C220" s="946" t="s">
        <v>34</v>
      </c>
      <c r="D220" s="101"/>
      <c r="K220"/>
      <c r="L220"/>
      <c r="M220"/>
    </row>
    <row r="221" spans="2:25" ht="15.6">
      <c r="K221"/>
      <c r="L221"/>
      <c r="M221"/>
      <c r="O221"/>
      <c r="P221"/>
      <c r="Q221"/>
      <c r="R221"/>
      <c r="T221" s="390"/>
      <c r="U221" s="390"/>
      <c r="V221" s="390"/>
      <c r="W221" s="742"/>
      <c r="X221" s="742"/>
      <c r="Y221" s="390"/>
    </row>
    <row r="222" spans="2:25" ht="15.6">
      <c r="B222" s="946" t="s">
        <v>2924</v>
      </c>
      <c r="C222" s="946" t="s">
        <v>2925</v>
      </c>
      <c r="D222"/>
      <c r="K222"/>
      <c r="L222"/>
      <c r="M222"/>
      <c r="O222"/>
      <c r="P222"/>
      <c r="Q222"/>
      <c r="R222"/>
      <c r="W222" s="743"/>
      <c r="X222" s="743"/>
      <c r="Y222" s="101"/>
    </row>
    <row r="223" spans="2:25" ht="15.6">
      <c r="B223" s="950">
        <v>0.76294117647058823</v>
      </c>
      <c r="C223" s="950">
        <v>0.8443750000000001</v>
      </c>
      <c r="D223"/>
      <c r="O223"/>
      <c r="P223"/>
      <c r="Q223"/>
      <c r="R223"/>
    </row>
    <row r="224" spans="2:25" ht="16.2" thickBot="1">
      <c r="B224"/>
      <c r="C224"/>
      <c r="D224"/>
      <c r="J224" s="448"/>
      <c r="K224" s="448"/>
      <c r="L224" s="448"/>
      <c r="M224" s="448"/>
      <c r="O224"/>
      <c r="P224"/>
      <c r="Q224"/>
      <c r="R224"/>
      <c r="W224"/>
      <c r="X224"/>
      <c r="Y224"/>
    </row>
    <row r="225" spans="2:26" ht="15.6">
      <c r="B225" s="603"/>
      <c r="C225" s="604" t="s">
        <v>41</v>
      </c>
      <c r="D225" s="605" t="s">
        <v>125</v>
      </c>
      <c r="J225" s="448"/>
      <c r="K225" s="448"/>
      <c r="L225" s="448"/>
      <c r="M225" s="448"/>
      <c r="O225"/>
      <c r="P225"/>
      <c r="Q225"/>
      <c r="R225"/>
      <c r="W225"/>
      <c r="X225"/>
      <c r="Y225"/>
    </row>
    <row r="226" spans="2:26" ht="15.6">
      <c r="B226" s="606" t="s">
        <v>2926</v>
      </c>
      <c r="C226" s="602">
        <f>GETPIVOTDATA("Average of %_of_women_and_girls_who_report_that_they_have_an_adequate_system_for_disposing_of_used_sanitary_pads",$B$222)</f>
        <v>0.76294117647058823</v>
      </c>
      <c r="D226" s="602">
        <f>1-C226</f>
        <v>0.23705882352941177</v>
      </c>
      <c r="J226" s="448"/>
      <c r="K226" s="448"/>
      <c r="L226" s="448"/>
      <c r="M226" s="448"/>
      <c r="O226"/>
      <c r="P226"/>
      <c r="Q226"/>
      <c r="R226"/>
      <c r="T226"/>
    </row>
    <row r="227" spans="2:26" ht="15.6">
      <c r="B227" s="606" t="s">
        <v>3121</v>
      </c>
      <c r="C227" s="602">
        <f>GETPIVOTDATA("Average of %_of_affected_people_who_report_handwashing_at_key_times",$B$222)</f>
        <v>0.8443750000000001</v>
      </c>
      <c r="D227" s="602">
        <f>1-C227</f>
        <v>0.1556249999999999</v>
      </c>
      <c r="J227" s="448"/>
      <c r="K227" s="448"/>
      <c r="L227" s="448"/>
      <c r="M227" s="448"/>
      <c r="O227"/>
      <c r="P227"/>
      <c r="Q227"/>
      <c r="R227"/>
    </row>
    <row r="228" spans="2:26" ht="15.6">
      <c r="E228"/>
      <c r="F228"/>
      <c r="G228" s="390"/>
      <c r="H228" s="390"/>
      <c r="I228" s="390"/>
      <c r="J228" s="453"/>
      <c r="K228" s="453"/>
      <c r="L228" s="453"/>
      <c r="M228" s="453"/>
      <c r="N228" s="390"/>
      <c r="O228"/>
      <c r="P228"/>
      <c r="Q228"/>
      <c r="R228"/>
      <c r="T228" s="390"/>
    </row>
    <row r="229" spans="2:26" ht="15.6">
      <c r="E229"/>
      <c r="F229"/>
      <c r="J229" s="448"/>
      <c r="K229" s="448"/>
      <c r="L229" s="448"/>
      <c r="M229" s="448"/>
      <c r="O229"/>
      <c r="P229"/>
      <c r="Q229"/>
      <c r="R229"/>
    </row>
    <row r="230" spans="2:26" ht="15.6">
      <c r="E230"/>
      <c r="F230"/>
      <c r="J230" s="448"/>
      <c r="K230" s="448"/>
      <c r="L230" s="448"/>
      <c r="M230" s="448"/>
      <c r="O230"/>
      <c r="P230"/>
      <c r="Q230"/>
      <c r="R230"/>
    </row>
    <row r="231" spans="2:26" ht="15.6">
      <c r="J231" s="448"/>
      <c r="K231" s="448"/>
      <c r="L231" s="448"/>
      <c r="M231" s="448"/>
      <c r="O231"/>
      <c r="P231"/>
      <c r="Q231"/>
      <c r="R231"/>
    </row>
    <row r="232" spans="2:26" ht="15.6">
      <c r="J232" s="448"/>
      <c r="K232" s="448"/>
      <c r="L232" s="448"/>
      <c r="M232" s="448"/>
      <c r="O232"/>
      <c r="P232"/>
      <c r="Q232"/>
      <c r="R232"/>
      <c r="T232"/>
    </row>
    <row r="233" spans="2:26" ht="15.6">
      <c r="B233" s="945" t="s">
        <v>20</v>
      </c>
      <c r="C233" s="946" t="s">
        <v>3145</v>
      </c>
      <c r="J233" s="812"/>
      <c r="K233" s="812"/>
      <c r="L233" s="448"/>
      <c r="M233" s="448"/>
      <c r="O233"/>
      <c r="P233"/>
      <c r="Q233"/>
      <c r="R233"/>
      <c r="T233"/>
    </row>
    <row r="234" spans="2:26" ht="15.6">
      <c r="B234" s="945" t="s">
        <v>34</v>
      </c>
      <c r="C234" s="946" t="s">
        <v>34</v>
      </c>
      <c r="D234" s="101"/>
      <c r="J234" s="812"/>
      <c r="K234" s="812"/>
      <c r="L234" s="448"/>
      <c r="M234" s="448"/>
      <c r="O234"/>
      <c r="P234"/>
      <c r="Q234"/>
      <c r="R234"/>
      <c r="T234"/>
    </row>
    <row r="235" spans="2:26" ht="15.6">
      <c r="B235" s="638" t="s">
        <v>2939</v>
      </c>
      <c r="J235" s="638"/>
      <c r="L235" s="448"/>
      <c r="M235" s="448"/>
      <c r="O235"/>
      <c r="P235"/>
      <c r="Q235"/>
      <c r="R235"/>
      <c r="T235"/>
      <c r="W235"/>
      <c r="X235"/>
      <c r="Y235"/>
    </row>
    <row r="236" spans="2:26" ht="15.6">
      <c r="B236" s="945" t="s">
        <v>1867</v>
      </c>
      <c r="C236" s="946"/>
      <c r="D236"/>
      <c r="E236" s="638" t="s">
        <v>1918</v>
      </c>
      <c r="F236" t="s">
        <v>2941</v>
      </c>
      <c r="G236" t="s">
        <v>2940</v>
      </c>
      <c r="J236"/>
      <c r="K236"/>
      <c r="L236" s="453"/>
      <c r="M236" s="453"/>
      <c r="N236" s="390"/>
      <c r="O236"/>
      <c r="P236"/>
      <c r="Q236"/>
      <c r="R236"/>
      <c r="T236" s="453"/>
      <c r="U236" s="390"/>
      <c r="V236" s="390"/>
      <c r="W236" s="453"/>
      <c r="X236" s="453"/>
      <c r="Y236" s="453"/>
      <c r="Z236" s="390"/>
    </row>
    <row r="237" spans="2:26" ht="15.6">
      <c r="B237" s="948" t="s">
        <v>2942</v>
      </c>
      <c r="C237" s="956">
        <v>119988</v>
      </c>
      <c r="D237"/>
      <c r="E237">
        <f>GETPIVOTDATA(" Total PoP ",$B$236)</f>
        <v>119988</v>
      </c>
      <c r="F237">
        <f>GETPIVOTDATA("Men",$B$236)+GETPIVOTDATA("Women",$B$236)+GETPIVOTDATA("Boys",$B$236)+GETPIVOTDATA("Girls",$B$236)</f>
        <v>56731</v>
      </c>
      <c r="G237" s="453">
        <f>E237-F237</f>
        <v>63257</v>
      </c>
      <c r="H237" s="671"/>
      <c r="J237"/>
      <c r="K237"/>
      <c r="L237"/>
      <c r="M237"/>
      <c r="O237"/>
      <c r="P237"/>
      <c r="Q237"/>
      <c r="R237"/>
      <c r="T237"/>
      <c r="W237"/>
      <c r="X237"/>
      <c r="Y237"/>
    </row>
    <row r="238" spans="2:26" ht="15.6">
      <c r="B238" s="948" t="s">
        <v>2914</v>
      </c>
      <c r="C238" s="956">
        <v>16012</v>
      </c>
      <c r="D238" s="448"/>
      <c r="J238"/>
      <c r="K238"/>
      <c r="L238"/>
      <c r="M238"/>
      <c r="O238"/>
      <c r="P238"/>
      <c r="Q238"/>
      <c r="R238"/>
      <c r="T238"/>
      <c r="U238"/>
      <c r="V238"/>
      <c r="W238"/>
      <c r="X238"/>
      <c r="Y238"/>
    </row>
    <row r="239" spans="2:26" ht="15.6">
      <c r="B239" s="948" t="s">
        <v>2915</v>
      </c>
      <c r="C239" s="956">
        <v>21058</v>
      </c>
      <c r="E239" s="624" t="s">
        <v>2943</v>
      </c>
      <c r="F239" s="624" t="s">
        <v>2914</v>
      </c>
      <c r="G239" s="624" t="s">
        <v>2915</v>
      </c>
      <c r="H239" s="624" t="s">
        <v>2916</v>
      </c>
      <c r="I239" s="657" t="s">
        <v>2917</v>
      </c>
      <c r="O239"/>
      <c r="P239"/>
      <c r="Q239"/>
      <c r="R239"/>
      <c r="U239"/>
      <c r="V239"/>
      <c r="W239"/>
      <c r="X239"/>
      <c r="Y239"/>
    </row>
    <row r="240" spans="2:26" ht="15.6">
      <c r="B240" s="948" t="s">
        <v>2916</v>
      </c>
      <c r="C240" s="956">
        <v>10092</v>
      </c>
      <c r="E240" s="656">
        <f>E237-F237</f>
        <v>63257</v>
      </c>
      <c r="F240" s="656">
        <f>GETPIVOTDATA("Men",$B$236)</f>
        <v>16012</v>
      </c>
      <c r="G240" s="656">
        <f>GETPIVOTDATA("Women",$B$236)</f>
        <v>21058</v>
      </c>
      <c r="H240" s="656">
        <f>GETPIVOTDATA("Boys",$B$236)</f>
        <v>10092</v>
      </c>
      <c r="I240" s="655">
        <f>GETPIVOTDATA("Girls",$B$236)</f>
        <v>9569</v>
      </c>
      <c r="O240"/>
      <c r="P240"/>
      <c r="Q240"/>
      <c r="R240"/>
      <c r="T240" s="390"/>
      <c r="U240" s="453"/>
      <c r="V240" s="453"/>
      <c r="W240" s="453"/>
      <c r="X240" s="453"/>
      <c r="Y240" s="453"/>
      <c r="Z240" s="390"/>
    </row>
    <row r="241" spans="1:26" ht="15.6">
      <c r="B241" s="948" t="s">
        <v>2917</v>
      </c>
      <c r="C241" s="956">
        <v>9569</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6">
      <c r="K242"/>
      <c r="L242"/>
      <c r="M242"/>
      <c r="O242"/>
      <c r="P242"/>
      <c r="Q242"/>
      <c r="R242"/>
      <c r="U242"/>
      <c r="V242"/>
      <c r="W242"/>
    </row>
    <row r="243" spans="1:26" ht="15.6">
      <c r="K243"/>
      <c r="O243"/>
      <c r="P243"/>
      <c r="Q243"/>
      <c r="R243"/>
      <c r="U243"/>
      <c r="V243"/>
      <c r="W243"/>
    </row>
    <row r="244" spans="1:26" ht="15.6">
      <c r="K244" s="425"/>
      <c r="O244"/>
      <c r="P244"/>
      <c r="Q244"/>
      <c r="R244"/>
      <c r="U244" s="347"/>
      <c r="V244" s="347"/>
      <c r="W244" s="347"/>
    </row>
    <row r="245" spans="1:26" ht="15.6">
      <c r="K245" s="425"/>
      <c r="L245" s="426"/>
      <c r="M245" s="426"/>
      <c r="O245"/>
      <c r="P245"/>
      <c r="Q245"/>
      <c r="R245"/>
      <c r="U245" s="347"/>
      <c r="V245" s="347"/>
      <c r="W245" s="347"/>
    </row>
    <row r="246" spans="1:26" ht="15.6">
      <c r="K246" s="425"/>
      <c r="L246" s="426"/>
      <c r="M246" s="426"/>
      <c r="O246"/>
      <c r="P246"/>
      <c r="Q246"/>
      <c r="R246"/>
      <c r="U246" s="347"/>
      <c r="V246" s="347"/>
      <c r="W246" s="347"/>
    </row>
    <row r="247" spans="1:26" ht="15.6">
      <c r="K247" s="425"/>
      <c r="L247" s="426"/>
      <c r="M247" s="426"/>
      <c r="U247" s="347"/>
      <c r="V247" s="347"/>
      <c r="W247" s="347"/>
    </row>
    <row r="248" spans="1:26" ht="18">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6">
      <c r="B250" s="101"/>
      <c r="C250" s="101"/>
      <c r="D250" s="101"/>
      <c r="K250"/>
      <c r="L250"/>
    </row>
    <row r="251" spans="1:26" ht="15.6">
      <c r="F251" s="945" t="s">
        <v>20</v>
      </c>
      <c r="G251" s="946" t="s">
        <v>3145</v>
      </c>
      <c r="I251"/>
      <c r="J251"/>
    </row>
    <row r="252" spans="1:26" ht="15.6">
      <c r="F252" s="957" t="s">
        <v>21</v>
      </c>
      <c r="G252" s="946" t="s">
        <v>293</v>
      </c>
      <c r="I252"/>
      <c r="J252"/>
    </row>
    <row r="254" spans="1:26" ht="15.6">
      <c r="F254" s="945" t="s">
        <v>1868</v>
      </c>
      <c r="G254" s="945" t="s">
        <v>1866</v>
      </c>
      <c r="I254"/>
      <c r="J254"/>
      <c r="P254"/>
    </row>
    <row r="255" spans="1:26" ht="15.6">
      <c r="F255" s="945" t="s">
        <v>1619</v>
      </c>
      <c r="G255" s="946" t="s">
        <v>34</v>
      </c>
      <c r="I255"/>
      <c r="J255"/>
      <c r="O255" s="390"/>
      <c r="P255" s="453"/>
    </row>
    <row r="256" spans="1:26" ht="15.6">
      <c r="F256" s="948" t="s">
        <v>43</v>
      </c>
      <c r="G256" s="949">
        <v>21</v>
      </c>
      <c r="I256"/>
      <c r="J256"/>
      <c r="P256"/>
    </row>
    <row r="257" spans="1:26" ht="15.6">
      <c r="H257"/>
      <c r="I257"/>
      <c r="J257"/>
      <c r="P257"/>
    </row>
    <row r="258" spans="1:26" ht="15.6">
      <c r="H258"/>
      <c r="I258"/>
      <c r="J258"/>
      <c r="O258"/>
      <c r="P258"/>
    </row>
    <row r="259" spans="1:26" ht="15.6">
      <c r="C259"/>
      <c r="D259"/>
      <c r="E259"/>
      <c r="H259"/>
      <c r="I259"/>
      <c r="J259"/>
    </row>
    <row r="260" spans="1:26" ht="15.6">
      <c r="H260"/>
      <c r="I260"/>
      <c r="J260"/>
    </row>
    <row r="272" spans="1:26" ht="18">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6">
      <c r="C275"/>
      <c r="D275"/>
    </row>
    <row r="276" spans="3:12">
      <c r="C276" s="945" t="s">
        <v>20</v>
      </c>
      <c r="D276" s="946" t="s">
        <v>3145</v>
      </c>
    </row>
    <row r="278" spans="3:12">
      <c r="C278" s="945" t="s">
        <v>21</v>
      </c>
      <c r="D278" s="945" t="s">
        <v>22</v>
      </c>
      <c r="E278" s="945" t="s">
        <v>23</v>
      </c>
      <c r="F278" s="945" t="s">
        <v>29</v>
      </c>
      <c r="G278" s="946" t="s">
        <v>1868</v>
      </c>
      <c r="H278" s="946" t="s">
        <v>1907</v>
      </c>
      <c r="I278" s="946" t="s">
        <v>1908</v>
      </c>
      <c r="J278" s="946" t="s">
        <v>1909</v>
      </c>
      <c r="K278" s="946" t="s">
        <v>1910</v>
      </c>
      <c r="L278" s="946" t="s">
        <v>1911</v>
      </c>
    </row>
    <row r="279" spans="3:12">
      <c r="C279" s="946" t="s">
        <v>293</v>
      </c>
      <c r="D279" s="946" t="s">
        <v>356</v>
      </c>
      <c r="E279" s="946" t="s">
        <v>367</v>
      </c>
      <c r="F279" s="946" t="s">
        <v>789</v>
      </c>
      <c r="G279" s="949">
        <v>1</v>
      </c>
      <c r="H279" s="956">
        <v>384</v>
      </c>
      <c r="I279" s="956">
        <v>1084</v>
      </c>
      <c r="J279" s="950">
        <v>0</v>
      </c>
      <c r="K279" s="950">
        <v>0</v>
      </c>
      <c r="L279" s="950">
        <v>0</v>
      </c>
    </row>
    <row r="280" spans="3:12">
      <c r="C280" s="946"/>
      <c r="D280" s="946" t="s">
        <v>398</v>
      </c>
      <c r="E280" s="946" t="s">
        <v>399</v>
      </c>
      <c r="F280" s="946" t="s">
        <v>789</v>
      </c>
      <c r="G280" s="949">
        <v>1</v>
      </c>
      <c r="H280" s="956">
        <v>716</v>
      </c>
      <c r="I280" s="956">
        <v>2920</v>
      </c>
      <c r="J280" s="950">
        <v>0.48630136986301364</v>
      </c>
      <c r="K280" s="950">
        <v>0</v>
      </c>
      <c r="L280" s="950">
        <v>1</v>
      </c>
    </row>
    <row r="281" spans="3:12">
      <c r="C281" s="946"/>
      <c r="D281" s="946" t="s">
        <v>401</v>
      </c>
      <c r="E281" s="946" t="s">
        <v>411</v>
      </c>
      <c r="F281" s="946" t="s">
        <v>789</v>
      </c>
      <c r="G281" s="949">
        <v>1</v>
      </c>
      <c r="H281" s="956">
        <v>1112</v>
      </c>
      <c r="I281" s="956">
        <v>5133</v>
      </c>
      <c r="J281" s="950">
        <v>0</v>
      </c>
      <c r="K281" s="950">
        <v>0.12020261055912718</v>
      </c>
      <c r="L281" s="950">
        <v>0</v>
      </c>
    </row>
    <row r="282" spans="3:12">
      <c r="C282" s="946"/>
      <c r="D282" s="946"/>
      <c r="E282" s="946" t="s">
        <v>409</v>
      </c>
      <c r="F282" s="946" t="s">
        <v>789</v>
      </c>
      <c r="G282" s="949">
        <v>1</v>
      </c>
      <c r="H282" s="956">
        <v>1389</v>
      </c>
      <c r="I282" s="956">
        <v>6680</v>
      </c>
      <c r="J282" s="950">
        <v>0</v>
      </c>
      <c r="K282" s="950">
        <v>0.24041916167664668</v>
      </c>
      <c r="L282" s="950">
        <v>0</v>
      </c>
    </row>
    <row r="283" spans="3:12">
      <c r="C283" s="946"/>
      <c r="D283" s="946"/>
      <c r="E283" s="946" t="s">
        <v>405</v>
      </c>
      <c r="F283" s="946" t="s">
        <v>1854</v>
      </c>
      <c r="G283" s="949">
        <v>1</v>
      </c>
      <c r="H283" s="956">
        <v>1076</v>
      </c>
      <c r="I283" s="956">
        <v>5024</v>
      </c>
      <c r="J283" s="950">
        <v>0</v>
      </c>
      <c r="K283" s="950">
        <v>0.26612261146496818</v>
      </c>
      <c r="L283" s="950">
        <v>0</v>
      </c>
    </row>
    <row r="284" spans="3:12">
      <c r="C284" s="946"/>
      <c r="D284" s="946"/>
      <c r="E284" s="946" t="s">
        <v>406</v>
      </c>
      <c r="F284" s="946" t="s">
        <v>789</v>
      </c>
      <c r="G284" s="949">
        <v>1</v>
      </c>
      <c r="H284" s="956">
        <v>1064</v>
      </c>
      <c r="I284" s="956">
        <v>5137</v>
      </c>
      <c r="J284" s="950">
        <v>0</v>
      </c>
      <c r="K284" s="950">
        <v>0.21530075919797542</v>
      </c>
      <c r="L284" s="950">
        <v>0</v>
      </c>
    </row>
    <row r="285" spans="3:12">
      <c r="C285" s="946"/>
      <c r="D285" s="946"/>
      <c r="E285" s="946" t="s">
        <v>404</v>
      </c>
      <c r="F285" s="946" t="s">
        <v>789</v>
      </c>
      <c r="G285" s="949">
        <v>1</v>
      </c>
      <c r="H285" s="956">
        <v>811</v>
      </c>
      <c r="I285" s="956">
        <v>2861</v>
      </c>
      <c r="J285" s="950">
        <v>0</v>
      </c>
      <c r="K285" s="950">
        <v>0</v>
      </c>
      <c r="L285" s="950">
        <v>0</v>
      </c>
    </row>
    <row r="286" spans="3:12">
      <c r="C286" s="946"/>
      <c r="D286" s="946" t="s">
        <v>294</v>
      </c>
      <c r="E286" s="946" t="s">
        <v>413</v>
      </c>
      <c r="F286" s="946" t="s">
        <v>789</v>
      </c>
      <c r="G286" s="949">
        <v>1</v>
      </c>
      <c r="H286" s="956">
        <v>380</v>
      </c>
      <c r="I286" s="956">
        <v>2489</v>
      </c>
      <c r="J286" s="950">
        <v>0</v>
      </c>
      <c r="K286" s="950">
        <v>7.5934110084371231E-2</v>
      </c>
      <c r="L286" s="950">
        <v>0</v>
      </c>
    </row>
    <row r="287" spans="3:12">
      <c r="C287" s="946"/>
      <c r="D287" s="946"/>
      <c r="E287" s="946" t="s">
        <v>424</v>
      </c>
      <c r="F287" s="946" t="s">
        <v>789</v>
      </c>
      <c r="G287" s="949">
        <v>1</v>
      </c>
      <c r="H287" s="956">
        <v>1012</v>
      </c>
      <c r="I287" s="956">
        <v>5101</v>
      </c>
      <c r="J287" s="950">
        <v>0</v>
      </c>
      <c r="K287" s="950">
        <v>0.11782003528719864</v>
      </c>
      <c r="L287" s="950">
        <v>0</v>
      </c>
    </row>
    <row r="288" spans="3:12">
      <c r="C288" s="946"/>
      <c r="D288" s="946"/>
      <c r="E288" s="946" t="s">
        <v>426</v>
      </c>
      <c r="F288" s="946" t="s">
        <v>789</v>
      </c>
      <c r="G288" s="949">
        <v>1</v>
      </c>
      <c r="H288" s="956">
        <v>1346</v>
      </c>
      <c r="I288" s="956">
        <v>8728</v>
      </c>
      <c r="J288" s="950">
        <v>0</v>
      </c>
      <c r="K288" s="950">
        <v>0.45004582951420713</v>
      </c>
      <c r="L288" s="950">
        <v>1.1144130757800963E-2</v>
      </c>
    </row>
    <row r="289" spans="3:12">
      <c r="C289" s="946"/>
      <c r="D289" s="946"/>
      <c r="E289" s="946" t="s">
        <v>423</v>
      </c>
      <c r="F289" s="946" t="s">
        <v>789</v>
      </c>
      <c r="G289" s="949">
        <v>1</v>
      </c>
      <c r="H289" s="956">
        <v>1753</v>
      </c>
      <c r="I289" s="956">
        <v>11715</v>
      </c>
      <c r="J289" s="950">
        <v>0</v>
      </c>
      <c r="K289" s="950">
        <v>0.23858301323090059</v>
      </c>
      <c r="L289" s="950">
        <v>0</v>
      </c>
    </row>
    <row r="290" spans="3:12">
      <c r="C290" s="946"/>
      <c r="D290" s="946"/>
      <c r="E290" s="946" t="s">
        <v>430</v>
      </c>
      <c r="F290" s="946" t="s">
        <v>789</v>
      </c>
      <c r="G290" s="949">
        <v>1</v>
      </c>
      <c r="H290" s="956">
        <v>656</v>
      </c>
      <c r="I290" s="956">
        <v>3486</v>
      </c>
      <c r="J290" s="950">
        <v>0</v>
      </c>
      <c r="K290" s="950">
        <v>0.16179001721170394</v>
      </c>
      <c r="L290" s="950">
        <v>0</v>
      </c>
    </row>
    <row r="291" spans="3:12">
      <c r="C291" s="946"/>
      <c r="D291" s="946"/>
      <c r="E291" s="946" t="s">
        <v>440</v>
      </c>
      <c r="F291" s="946" t="s">
        <v>789</v>
      </c>
      <c r="G291" s="949">
        <v>1</v>
      </c>
      <c r="H291" s="956">
        <v>774</v>
      </c>
      <c r="I291" s="956">
        <v>3095</v>
      </c>
      <c r="J291" s="950">
        <v>0</v>
      </c>
      <c r="K291" s="950">
        <v>0</v>
      </c>
      <c r="L291" s="950">
        <v>0</v>
      </c>
    </row>
    <row r="292" spans="3:12">
      <c r="C292" s="946"/>
      <c r="D292" s="946"/>
      <c r="E292" s="946" t="s">
        <v>431</v>
      </c>
      <c r="F292" s="946" t="s">
        <v>789</v>
      </c>
      <c r="G292" s="949">
        <v>1</v>
      </c>
      <c r="H292" s="956">
        <v>2728</v>
      </c>
      <c r="I292" s="956">
        <v>13302</v>
      </c>
      <c r="J292" s="950">
        <v>0</v>
      </c>
      <c r="K292" s="950">
        <v>2.5710419485791558E-2</v>
      </c>
      <c r="L292" s="950">
        <v>0</v>
      </c>
    </row>
    <row r="293" spans="3:12">
      <c r="C293" s="946"/>
      <c r="D293" s="946"/>
      <c r="E293" s="946" t="s">
        <v>429</v>
      </c>
      <c r="F293" s="946" t="s">
        <v>789</v>
      </c>
      <c r="G293" s="949">
        <v>1</v>
      </c>
      <c r="H293" s="956">
        <v>2275</v>
      </c>
      <c r="I293" s="956">
        <v>12495</v>
      </c>
      <c r="J293" s="950">
        <v>0</v>
      </c>
      <c r="K293" s="950">
        <v>0</v>
      </c>
      <c r="L293" s="950">
        <v>0</v>
      </c>
    </row>
    <row r="294" spans="3:12">
      <c r="C294" s="946"/>
      <c r="D294" s="946"/>
      <c r="E294" s="946" t="s">
        <v>438</v>
      </c>
      <c r="F294" s="946" t="s">
        <v>789</v>
      </c>
      <c r="G294" s="949">
        <v>1</v>
      </c>
      <c r="H294" s="956">
        <v>2280</v>
      </c>
      <c r="I294" s="956">
        <v>11564</v>
      </c>
      <c r="J294" s="950">
        <v>0</v>
      </c>
      <c r="K294" s="950">
        <v>0.14640262884814947</v>
      </c>
      <c r="L294" s="950">
        <v>0</v>
      </c>
    </row>
    <row r="295" spans="3:12">
      <c r="C295" s="946"/>
      <c r="D295" s="946"/>
      <c r="E295" s="946" t="s">
        <v>421</v>
      </c>
      <c r="F295" s="946" t="s">
        <v>792</v>
      </c>
      <c r="G295" s="949">
        <v>1</v>
      </c>
      <c r="H295" s="956">
        <v>1139</v>
      </c>
      <c r="I295" s="956">
        <v>6016</v>
      </c>
      <c r="J295" s="950">
        <v>0</v>
      </c>
      <c r="K295" s="950">
        <v>0.26196808510638303</v>
      </c>
      <c r="L295" s="950">
        <v>0</v>
      </c>
    </row>
    <row r="296" spans="3:12">
      <c r="C296" s="946"/>
      <c r="D296" s="946"/>
      <c r="E296" s="946" t="s">
        <v>425</v>
      </c>
      <c r="F296" s="946" t="s">
        <v>789</v>
      </c>
      <c r="G296" s="949">
        <v>1</v>
      </c>
      <c r="H296" s="956">
        <v>1013</v>
      </c>
      <c r="I296" s="956">
        <v>5950</v>
      </c>
      <c r="J296" s="950">
        <v>0</v>
      </c>
      <c r="K296" s="950">
        <v>6.2521008403361389E-2</v>
      </c>
      <c r="L296" s="950">
        <v>0</v>
      </c>
    </row>
    <row r="297" spans="3:12">
      <c r="C297" s="946"/>
      <c r="D297" s="946"/>
      <c r="E297" s="946" t="s">
        <v>2272</v>
      </c>
      <c r="F297" s="946" t="s">
        <v>789</v>
      </c>
      <c r="G297" s="949">
        <v>1</v>
      </c>
      <c r="H297" s="956">
        <v>400</v>
      </c>
      <c r="I297" s="956">
        <v>2262</v>
      </c>
      <c r="J297" s="950">
        <v>0</v>
      </c>
      <c r="K297" s="950">
        <v>0.1954022988505747</v>
      </c>
      <c r="L297" s="950">
        <v>0</v>
      </c>
    </row>
    <row r="298" spans="3:12">
      <c r="C298" s="946"/>
      <c r="D298" s="946"/>
      <c r="E298" s="946" t="s">
        <v>2271</v>
      </c>
      <c r="F298" s="946" t="s">
        <v>789</v>
      </c>
      <c r="G298" s="949">
        <v>1</v>
      </c>
      <c r="H298" s="956">
        <v>400</v>
      </c>
      <c r="I298" s="956">
        <v>2248</v>
      </c>
      <c r="J298" s="950">
        <v>0</v>
      </c>
      <c r="K298" s="950">
        <v>0.11521352313167255</v>
      </c>
      <c r="L298" s="950">
        <v>2.0000000000000018E-2</v>
      </c>
    </row>
    <row r="299" spans="3:12">
      <c r="C299" s="946"/>
      <c r="D299" s="946"/>
      <c r="E299" s="946" t="s">
        <v>2273</v>
      </c>
      <c r="F299" s="946" t="s">
        <v>789</v>
      </c>
      <c r="G299" s="949">
        <v>1</v>
      </c>
      <c r="H299" s="956">
        <v>400</v>
      </c>
      <c r="I299" s="956">
        <v>2698</v>
      </c>
      <c r="J299" s="950">
        <v>0</v>
      </c>
      <c r="K299" s="950">
        <v>0</v>
      </c>
      <c r="L299" s="950">
        <v>0</v>
      </c>
    </row>
    <row r="300" spans="3:12">
      <c r="C300" s="946" t="s">
        <v>3002</v>
      </c>
      <c r="D300" s="946"/>
      <c r="E300" s="946"/>
      <c r="F300" s="946"/>
      <c r="G300" s="949">
        <v>21</v>
      </c>
      <c r="H300" s="956">
        <v>23108</v>
      </c>
      <c r="I300" s="956">
        <v>119988</v>
      </c>
      <c r="J300" s="950">
        <v>2.3157208088714937E-2</v>
      </c>
      <c r="K300" s="950">
        <v>0.12825886247871579</v>
      </c>
      <c r="L300" s="950">
        <v>4.9102101464657183E-2</v>
      </c>
    </row>
    <row r="301" spans="3:12" ht="15.6">
      <c r="C301"/>
      <c r="D301"/>
      <c r="E301"/>
      <c r="F301"/>
      <c r="G301"/>
      <c r="H301"/>
      <c r="I301"/>
      <c r="J301"/>
      <c r="K301"/>
      <c r="L301"/>
    </row>
    <row r="302" spans="3:12" ht="15.6">
      <c r="C302"/>
      <c r="D302"/>
      <c r="E302"/>
      <c r="F302"/>
      <c r="G302"/>
      <c r="H302"/>
      <c r="I302"/>
      <c r="J302"/>
      <c r="K302"/>
      <c r="L302"/>
    </row>
    <row r="303" spans="3:12" ht="15.6">
      <c r="C303"/>
      <c r="D303"/>
      <c r="E303"/>
      <c r="F303"/>
      <c r="G303"/>
      <c r="H303"/>
      <c r="I303"/>
      <c r="J303"/>
      <c r="K303"/>
      <c r="L303"/>
    </row>
    <row r="304" spans="3:12" ht="15.6">
      <c r="C304"/>
      <c r="D304"/>
      <c r="E304"/>
      <c r="F304"/>
      <c r="G304"/>
      <c r="H304"/>
      <c r="I304"/>
      <c r="J304"/>
      <c r="K304"/>
      <c r="L304"/>
    </row>
    <row r="305" spans="1:25" ht="15.6">
      <c r="C305"/>
      <c r="D305"/>
      <c r="E305"/>
      <c r="F305"/>
      <c r="G305"/>
      <c r="H305"/>
      <c r="I305"/>
      <c r="J305"/>
      <c r="K305"/>
      <c r="L305"/>
    </row>
    <row r="306" spans="1:25" ht="15.6">
      <c r="C306"/>
      <c r="D306"/>
      <c r="E306"/>
      <c r="F306"/>
      <c r="G306"/>
      <c r="H306"/>
      <c r="I306"/>
      <c r="J306"/>
      <c r="K306"/>
      <c r="L306"/>
    </row>
    <row r="307" spans="1:25">
      <c r="C307" s="427"/>
      <c r="D307" s="427"/>
      <c r="E307" s="427"/>
      <c r="F307" s="427"/>
      <c r="G307" s="428"/>
      <c r="H307" s="429"/>
      <c r="I307" s="429"/>
      <c r="J307" s="430"/>
      <c r="K307" s="430"/>
      <c r="L307" s="430"/>
    </row>
    <row r="308" spans="1:25">
      <c r="C308" s="427"/>
      <c r="D308" s="427"/>
      <c r="E308" s="427"/>
      <c r="F308" s="427"/>
      <c r="G308" s="428"/>
      <c r="H308" s="429"/>
      <c r="I308" s="429"/>
      <c r="J308" s="430"/>
      <c r="K308" s="430"/>
      <c r="L308" s="430"/>
    </row>
    <row r="309" spans="1:25">
      <c r="C309" s="427"/>
      <c r="D309" s="427"/>
      <c r="E309" s="427"/>
      <c r="F309" s="427"/>
      <c r="G309" s="428"/>
      <c r="H309" s="429"/>
      <c r="I309" s="429"/>
      <c r="J309" s="430"/>
      <c r="K309" s="430"/>
      <c r="L309" s="430"/>
    </row>
    <row r="310" spans="1:25" ht="18">
      <c r="A310" s="145" t="s">
        <v>3123</v>
      </c>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row>
    <row r="311" spans="1:25">
      <c r="C311" s="101"/>
      <c r="D311" s="101"/>
      <c r="E311" s="101"/>
      <c r="F311" s="101"/>
      <c r="G311" s="101"/>
      <c r="H311" s="101"/>
      <c r="I311" s="101"/>
      <c r="J311" s="101"/>
      <c r="K311" s="101"/>
    </row>
    <row r="312" spans="1:25">
      <c r="C312" s="101"/>
      <c r="D312" s="101"/>
      <c r="E312" s="101"/>
      <c r="F312" s="101"/>
      <c r="G312" s="101"/>
      <c r="H312" s="101"/>
      <c r="I312" s="101"/>
      <c r="J312" s="101"/>
      <c r="K312" s="101"/>
    </row>
    <row r="313" spans="1:25">
      <c r="C313" s="101"/>
      <c r="D313" s="101"/>
      <c r="E313" s="101"/>
      <c r="F313" s="101"/>
      <c r="G313" s="101"/>
      <c r="H313" s="101"/>
      <c r="I313" s="101"/>
      <c r="J313" s="101"/>
      <c r="K313" s="101"/>
      <c r="Q313" s="94" t="s">
        <v>1622</v>
      </c>
      <c r="R313" s="94" t="s">
        <v>1904</v>
      </c>
      <c r="S313" s="732" t="s">
        <v>2941</v>
      </c>
      <c r="T313" s="732" t="s">
        <v>2986</v>
      </c>
    </row>
    <row r="314" spans="1:25">
      <c r="B314" s="945" t="s">
        <v>20</v>
      </c>
      <c r="C314" s="946" t="s">
        <v>3145</v>
      </c>
      <c r="E314" s="101"/>
      <c r="G314" s="101"/>
      <c r="H314" s="945" t="s">
        <v>20</v>
      </c>
      <c r="I314" s="946" t="s">
        <v>3145</v>
      </c>
      <c r="K314" s="101"/>
      <c r="L314" s="94" t="s">
        <v>3149</v>
      </c>
      <c r="M314" s="94">
        <v>6560.4299999999994</v>
      </c>
      <c r="N314" s="94">
        <f>HRP!E34</f>
        <v>600</v>
      </c>
      <c r="O314" s="94">
        <f>M314-N314</f>
        <v>5960.4299999999994</v>
      </c>
      <c r="Q314" s="94" t="s">
        <v>3160</v>
      </c>
      <c r="R314" s="94">
        <v>10934.050000000001</v>
      </c>
      <c r="S314" s="94">
        <f>HRP!E35</f>
        <v>7400</v>
      </c>
      <c r="T314" s="94">
        <f>R314-S314</f>
        <v>3534.0500000000011</v>
      </c>
    </row>
    <row r="315" spans="1:25">
      <c r="B315" s="945" t="s">
        <v>34</v>
      </c>
      <c r="C315" s="946" t="s">
        <v>34</v>
      </c>
      <c r="E315" s="101"/>
      <c r="G315" s="101"/>
      <c r="H315" s="945" t="s">
        <v>34</v>
      </c>
      <c r="I315" s="946" t="s">
        <v>34</v>
      </c>
      <c r="K315" s="101"/>
    </row>
    <row r="316" spans="1:25">
      <c r="B316" s="427"/>
      <c r="E316" s="101"/>
      <c r="G316" s="101"/>
      <c r="H316" s="427"/>
      <c r="K316" s="101"/>
    </row>
    <row r="317" spans="1:25" s="99" customFormat="1" ht="15.6">
      <c r="B317" s="962" t="s">
        <v>21</v>
      </c>
      <c r="C317" s="946" t="s">
        <v>2807</v>
      </c>
      <c r="D317" s="946" t="s">
        <v>2980</v>
      </c>
      <c r="E317" s="946" t="s">
        <v>3122</v>
      </c>
      <c r="G317"/>
      <c r="H317" s="945" t="s">
        <v>1867</v>
      </c>
      <c r="I317" s="946"/>
      <c r="J317"/>
      <c r="K317"/>
      <c r="L317"/>
      <c r="M317" s="823"/>
      <c r="N317" s="823"/>
      <c r="O317" s="823"/>
      <c r="P317" s="823"/>
      <c r="Q317" s="823"/>
      <c r="R317" s="823"/>
      <c r="S317" s="823"/>
      <c r="T317" s="823"/>
      <c r="U317" s="823"/>
      <c r="V317" s="823"/>
      <c r="W317" s="823"/>
      <c r="X317" s="823"/>
      <c r="Y317" s="823"/>
    </row>
    <row r="318" spans="1:25" ht="15.6">
      <c r="B318" s="948" t="s">
        <v>293</v>
      </c>
      <c r="C318" s="956">
        <v>121</v>
      </c>
      <c r="D318" s="956">
        <v>1</v>
      </c>
      <c r="E318" s="956">
        <v>54</v>
      </c>
      <c r="G318"/>
      <c r="H318" s="948" t="s">
        <v>3124</v>
      </c>
      <c r="I318" s="956">
        <v>196</v>
      </c>
      <c r="J318"/>
      <c r="K318"/>
      <c r="L318"/>
    </row>
    <row r="319" spans="1:25" ht="15.6">
      <c r="C319"/>
      <c r="D319"/>
      <c r="E319"/>
      <c r="F319"/>
      <c r="G319"/>
      <c r="H319" s="948" t="s">
        <v>3125</v>
      </c>
      <c r="I319" s="956"/>
      <c r="J319" s="101"/>
      <c r="K319" s="101"/>
    </row>
    <row r="320" spans="1:25" ht="15.6">
      <c r="C320"/>
      <c r="D320"/>
      <c r="E320"/>
      <c r="F320"/>
      <c r="G320"/>
      <c r="H320" s="948" t="s">
        <v>3126</v>
      </c>
      <c r="I320" s="956">
        <v>6050</v>
      </c>
      <c r="J320" s="101"/>
      <c r="K320" s="101"/>
    </row>
    <row r="321" spans="2:30" ht="15.6">
      <c r="C321"/>
      <c r="D321"/>
      <c r="E321"/>
      <c r="F321"/>
      <c r="G321"/>
      <c r="H321" s="948" t="s">
        <v>3180</v>
      </c>
      <c r="I321" s="956">
        <v>50</v>
      </c>
      <c r="J321" s="101"/>
      <c r="K321" s="101"/>
    </row>
    <row r="322" spans="2:30" ht="15.6">
      <c r="C322" s="101"/>
      <c r="D322" s="101"/>
      <c r="E322" s="101"/>
      <c r="F322" s="101"/>
      <c r="G322" s="101"/>
      <c r="H322"/>
      <c r="I322"/>
      <c r="J322" s="101"/>
      <c r="K322" s="101"/>
    </row>
    <row r="323" spans="2:30" s="404" customFormat="1" ht="15.6">
      <c r="C323" s="101"/>
      <c r="D323" s="101"/>
      <c r="E323" s="101"/>
      <c r="F323" s="101"/>
      <c r="G323" s="405"/>
      <c r="H323"/>
      <c r="I323"/>
    </row>
    <row r="324" spans="2:30">
      <c r="C324" s="101"/>
      <c r="D324" s="101"/>
      <c r="E324" s="101"/>
      <c r="F324" s="101"/>
      <c r="G324" s="101"/>
      <c r="H324" s="101"/>
    </row>
    <row r="325" spans="2:30">
      <c r="C325" s="101"/>
      <c r="D325" s="101"/>
      <c r="E325" s="101"/>
      <c r="F325" s="101"/>
      <c r="G325" s="101"/>
      <c r="H325" s="101"/>
    </row>
    <row r="326" spans="2:30">
      <c r="C326" s="101"/>
      <c r="D326" s="101"/>
      <c r="E326" s="101"/>
      <c r="F326" s="101"/>
      <c r="G326" s="101"/>
      <c r="H326" s="101"/>
    </row>
    <row r="327" spans="2:30">
      <c r="C327" s="101"/>
      <c r="D327" s="101"/>
      <c r="E327" s="101"/>
      <c r="F327" s="101"/>
      <c r="G327" s="101"/>
      <c r="H327" s="101"/>
      <c r="I327" s="101"/>
      <c r="J327" s="101"/>
      <c r="K327" s="101"/>
    </row>
    <row r="328" spans="2:30" ht="15.6">
      <c r="B328" s="101"/>
      <c r="C328" s="101"/>
      <c r="D328" s="101"/>
      <c r="E328" s="101"/>
      <c r="F328" s="101"/>
      <c r="G328" s="101"/>
      <c r="H328" s="101"/>
      <c r="I328" s="101"/>
      <c r="J328" s="101"/>
      <c r="K328"/>
      <c r="L328"/>
      <c r="M328"/>
      <c r="N328"/>
      <c r="O328"/>
      <c r="P328"/>
      <c r="Q328"/>
    </row>
    <row r="329" spans="2:30" ht="15.6">
      <c r="B329" s="101"/>
      <c r="C329" s="101"/>
      <c r="D329" s="101"/>
      <c r="E329" s="101"/>
      <c r="F329" s="101"/>
      <c r="G329" s="101"/>
      <c r="H329" s="101"/>
      <c r="I329" s="101"/>
      <c r="J329" s="101"/>
      <c r="K329"/>
      <c r="L329"/>
      <c r="M329"/>
      <c r="N329"/>
      <c r="O329"/>
      <c r="P329"/>
      <c r="Q329"/>
    </row>
    <row r="330" spans="2:30" ht="15.6">
      <c r="C330" s="101"/>
      <c r="D330" s="101"/>
      <c r="E330" s="101"/>
      <c r="F330" s="101"/>
      <c r="G330" s="101"/>
      <c r="H330" s="101"/>
      <c r="I330" s="101"/>
      <c r="J330" s="101"/>
      <c r="K330"/>
      <c r="L330"/>
      <c r="M330"/>
      <c r="N330"/>
      <c r="O330"/>
      <c r="P330"/>
      <c r="Q330"/>
    </row>
    <row r="331" spans="2:30" ht="15.6">
      <c r="C331" s="101"/>
      <c r="D331" s="101"/>
      <c r="E331" s="101"/>
      <c r="F331" s="101"/>
      <c r="G331" s="101"/>
      <c r="H331" s="101"/>
      <c r="I331" s="101"/>
      <c r="J331" s="101"/>
      <c r="K331"/>
      <c r="L331"/>
      <c r="M331"/>
      <c r="N331"/>
      <c r="O331"/>
      <c r="P331"/>
      <c r="Q331"/>
    </row>
    <row r="332" spans="2:30" ht="15.6">
      <c r="C332" s="101"/>
      <c r="D332" s="101"/>
      <c r="E332" s="101"/>
      <c r="F332" s="101"/>
      <c r="G332" s="101"/>
      <c r="H332" s="101"/>
      <c r="I332" s="101"/>
      <c r="J332" s="101"/>
      <c r="K332"/>
      <c r="L332"/>
      <c r="M332"/>
      <c r="N332"/>
      <c r="O332"/>
      <c r="P332"/>
      <c r="Q332"/>
    </row>
    <row r="333" spans="2:30" ht="15.6">
      <c r="C333" s="101"/>
      <c r="D333" s="101"/>
      <c r="E333" s="101"/>
      <c r="F333" s="101"/>
      <c r="G333" s="101"/>
      <c r="H333" s="101"/>
      <c r="I333" s="812"/>
      <c r="J333" s="812"/>
      <c r="K333"/>
      <c r="L333"/>
      <c r="N333"/>
      <c r="O333"/>
      <c r="P333"/>
    </row>
    <row r="334" spans="2:30" ht="15.6" hidden="1">
      <c r="B334" s="945" t="s">
        <v>20</v>
      </c>
      <c r="C334" s="946" t="s">
        <v>1620</v>
      </c>
      <c r="F334" s="101"/>
      <c r="G334" s="101"/>
      <c r="H334" s="101"/>
      <c r="I334" s="812"/>
      <c r="J334" s="812"/>
      <c r="K334" s="759"/>
      <c r="L334" s="759"/>
      <c r="N334"/>
      <c r="O334"/>
      <c r="P334"/>
    </row>
    <row r="335" spans="2:30" ht="15.6" hidden="1">
      <c r="B335" s="945" t="s">
        <v>34</v>
      </c>
      <c r="C335" s="946" t="s">
        <v>34</v>
      </c>
      <c r="F335" s="101"/>
      <c r="G335" s="101"/>
      <c r="H335" s="101"/>
      <c r="I335" s="427"/>
      <c r="K335" s="427"/>
      <c r="N335"/>
      <c r="O335"/>
      <c r="P335"/>
    </row>
    <row r="336" spans="2:30" ht="15.6" hidden="1">
      <c r="B336" s="427"/>
      <c r="F336" s="101"/>
      <c r="G336" s="101"/>
      <c r="H336" s="101"/>
      <c r="I336"/>
      <c r="J336"/>
      <c r="K336"/>
      <c r="L336"/>
      <c r="M336"/>
      <c r="N336"/>
      <c r="O336"/>
      <c r="P336"/>
      <c r="Q336"/>
      <c r="R336"/>
      <c r="S336"/>
      <c r="T336"/>
      <c r="U336"/>
      <c r="V336"/>
      <c r="W336"/>
      <c r="X336"/>
      <c r="Y336"/>
      <c r="Z336"/>
      <c r="AA336"/>
      <c r="AB336"/>
      <c r="AC336"/>
      <c r="AD336"/>
    </row>
    <row r="337" spans="1:30" ht="15.6" hidden="1">
      <c r="B337"/>
      <c r="C337"/>
      <c r="D337"/>
      <c r="F337"/>
      <c r="G337" s="600"/>
      <c r="H337" s="600"/>
      <c r="I337"/>
      <c r="J337"/>
      <c r="K337"/>
      <c r="L337"/>
      <c r="M337"/>
      <c r="N337"/>
      <c r="O337"/>
      <c r="P337"/>
      <c r="Q337"/>
      <c r="R337"/>
      <c r="S337"/>
      <c r="T337"/>
      <c r="U337"/>
      <c r="V337"/>
      <c r="W337"/>
      <c r="X337"/>
      <c r="Y337"/>
      <c r="Z337"/>
      <c r="AA337"/>
      <c r="AB337"/>
      <c r="AC337"/>
      <c r="AD337"/>
    </row>
    <row r="338" spans="1:30" ht="16.2" hidden="1" thickBot="1">
      <c r="B338"/>
      <c r="C338"/>
      <c r="D338"/>
      <c r="F338"/>
      <c r="G338" s="101"/>
      <c r="H338" s="101"/>
      <c r="I338"/>
      <c r="J338"/>
      <c r="K338"/>
      <c r="L338"/>
      <c r="M338"/>
      <c r="N338"/>
      <c r="O338"/>
      <c r="P338"/>
      <c r="Q338"/>
      <c r="R338"/>
      <c r="S338"/>
      <c r="T338"/>
      <c r="U338"/>
      <c r="V338"/>
      <c r="W338"/>
      <c r="X338"/>
      <c r="Y338"/>
      <c r="Z338"/>
      <c r="AA338"/>
      <c r="AB338"/>
      <c r="AC338"/>
      <c r="AD338"/>
    </row>
    <row r="339" spans="1:30" ht="16.2" hidden="1" thickBot="1">
      <c r="B339" s="101"/>
      <c r="C339" s="101"/>
      <c r="D339" s="101"/>
      <c r="F339" s="101"/>
      <c r="G339" s="101"/>
      <c r="H339" s="101"/>
      <c r="I339" s="101"/>
      <c r="J339" s="101"/>
      <c r="K339"/>
      <c r="L339"/>
      <c r="N339"/>
      <c r="O339" s="607"/>
    </row>
    <row r="340" spans="1:30" ht="15.6" hidden="1">
      <c r="B340" s="607"/>
      <c r="C340" s="618" t="s">
        <v>41</v>
      </c>
      <c r="D340" s="619" t="s">
        <v>125</v>
      </c>
      <c r="F340" s="101"/>
      <c r="G340" s="101"/>
      <c r="H340" s="101"/>
      <c r="I340" s="448"/>
      <c r="J340" s="448"/>
      <c r="K340" s="448"/>
      <c r="L340" s="448"/>
      <c r="M340" s="448"/>
      <c r="N340" s="448"/>
      <c r="O340" s="448"/>
      <c r="P340" s="448"/>
      <c r="Q340" s="448"/>
      <c r="R340" s="448"/>
      <c r="S340" s="448"/>
    </row>
    <row r="341" spans="1:30" ht="15.6" hidden="1">
      <c r="B341" s="730" t="s">
        <v>2927</v>
      </c>
      <c r="C341" s="608" t="e">
        <f>GETPIVOTDATA("%_of_TLS/CFS_with_a_designated_place_for_children_to_wash_hands_where_soap_is_available",$B$337)</f>
        <v>#REF!</v>
      </c>
      <c r="D341" s="609" t="e">
        <f>1-C341</f>
        <v>#REF!</v>
      </c>
      <c r="F341" s="101"/>
      <c r="G341" s="101"/>
      <c r="H341" s="101"/>
      <c r="I341" s="448"/>
      <c r="J341" s="448"/>
      <c r="K341" s="448"/>
      <c r="L341" s="448"/>
      <c r="M341" s="448"/>
      <c r="N341" s="448"/>
      <c r="O341" s="448"/>
      <c r="P341" s="448"/>
      <c r="Q341" s="448"/>
      <c r="R341" s="448"/>
      <c r="S341" s="448"/>
    </row>
    <row r="342" spans="1:30" ht="16.2" hidden="1" thickBot="1">
      <c r="B342" s="610"/>
      <c r="C342" s="611"/>
      <c r="D342" s="612"/>
      <c r="F342" s="101"/>
      <c r="G342" s="101"/>
      <c r="H342" s="101"/>
      <c r="I342" s="448"/>
      <c r="J342" s="448"/>
      <c r="K342" s="448"/>
      <c r="L342" s="448"/>
      <c r="M342" s="448"/>
      <c r="N342" s="448"/>
      <c r="O342" s="448"/>
      <c r="P342" s="448"/>
      <c r="Q342" s="448"/>
      <c r="R342" s="448"/>
      <c r="S342" s="448"/>
    </row>
    <row r="343" spans="1:30" ht="15.6" hidden="1">
      <c r="C343" s="101"/>
      <c r="D343" s="101"/>
      <c r="E343" s="101"/>
      <c r="F343" s="101"/>
      <c r="G343" s="101"/>
      <c r="H343" s="101"/>
      <c r="I343" s="448"/>
      <c r="J343" s="448"/>
      <c r="K343" s="448"/>
      <c r="L343" s="448"/>
      <c r="M343" s="448"/>
      <c r="N343" s="448"/>
      <c r="O343" s="448"/>
      <c r="P343" s="448"/>
      <c r="Q343" s="448"/>
      <c r="R343" s="448"/>
      <c r="S343" s="448"/>
    </row>
    <row r="344" spans="1:30" ht="15.6">
      <c r="C344" s="101"/>
      <c r="D344" s="101"/>
      <c r="E344" s="101"/>
      <c r="F344" s="101"/>
      <c r="G344" s="101"/>
      <c r="H344" s="101"/>
      <c r="I344" s="448"/>
      <c r="J344" s="448"/>
      <c r="K344" s="448"/>
      <c r="L344" s="448"/>
      <c r="M344" s="448"/>
      <c r="N344" s="448"/>
      <c r="O344" s="448"/>
      <c r="P344" s="448"/>
      <c r="Q344" s="448"/>
      <c r="R344" s="448"/>
      <c r="S344" s="448"/>
    </row>
    <row r="345" spans="1:30" ht="15.6">
      <c r="C345" s="101"/>
      <c r="D345" s="101"/>
      <c r="E345" s="101"/>
      <c r="F345" s="101"/>
      <c r="G345" s="101"/>
      <c r="H345" s="101"/>
      <c r="I345" s="448"/>
      <c r="J345" s="448"/>
      <c r="K345" s="448"/>
      <c r="L345" s="448"/>
      <c r="M345" s="448"/>
      <c r="N345" s="448"/>
      <c r="O345" s="448"/>
      <c r="P345" s="448"/>
      <c r="Q345" s="448"/>
      <c r="R345" s="448"/>
      <c r="S345" s="448"/>
    </row>
    <row r="346" spans="1:30" ht="15.6">
      <c r="C346" s="101"/>
      <c r="D346" s="101"/>
      <c r="E346" s="101"/>
      <c r="F346" s="101"/>
      <c r="G346" s="101"/>
      <c r="H346" s="101"/>
      <c r="I346" s="448"/>
      <c r="J346" s="448"/>
      <c r="K346" s="448"/>
      <c r="L346" s="448"/>
      <c r="M346" s="448"/>
      <c r="N346" s="448"/>
      <c r="O346" s="448"/>
      <c r="P346" s="448"/>
      <c r="Q346" s="448"/>
      <c r="R346" s="448"/>
      <c r="S346" s="448"/>
    </row>
    <row r="347" spans="1:30" ht="15.6">
      <c r="C347" s="101"/>
      <c r="D347" s="101"/>
      <c r="E347" s="101"/>
      <c r="F347" s="101"/>
      <c r="G347" s="101"/>
      <c r="H347" s="101"/>
      <c r="I347" s="448"/>
      <c r="J347" s="448"/>
      <c r="K347" s="448"/>
      <c r="L347" s="448"/>
      <c r="M347" s="448"/>
      <c r="N347" s="448"/>
      <c r="O347" s="448"/>
      <c r="P347" s="448"/>
      <c r="Q347" s="448"/>
      <c r="R347" s="448"/>
      <c r="S347" s="448"/>
    </row>
    <row r="348" spans="1:30" ht="18">
      <c r="A348" s="620" t="s">
        <v>2928</v>
      </c>
      <c r="B348" s="621"/>
      <c r="C348" s="621"/>
      <c r="D348" s="621"/>
      <c r="E348" s="621"/>
      <c r="F348" s="621"/>
      <c r="G348" s="621"/>
      <c r="H348" s="621"/>
      <c r="I348" s="621"/>
      <c r="J348" s="621"/>
      <c r="K348" s="621"/>
      <c r="L348" s="621"/>
      <c r="M348" s="621"/>
      <c r="N348" s="621"/>
      <c r="O348" s="621"/>
      <c r="P348" s="621"/>
      <c r="Q348" s="621"/>
      <c r="R348" s="621"/>
      <c r="S348" s="621"/>
      <c r="T348" s="621"/>
      <c r="U348" s="621"/>
      <c r="V348" s="621"/>
      <c r="W348" s="621"/>
      <c r="X348" s="621"/>
      <c r="Y348" s="621"/>
    </row>
    <row r="349" spans="1:30" ht="15.6">
      <c r="C349" s="101"/>
      <c r="D349" s="101"/>
      <c r="E349" s="101"/>
      <c r="F349" s="101"/>
      <c r="G349" s="101"/>
      <c r="H349" s="101"/>
      <c r="I349" s="101"/>
      <c r="J349" s="101"/>
      <c r="K349" s="101"/>
      <c r="L349"/>
      <c r="M349"/>
    </row>
    <row r="350" spans="1:30" ht="15.6">
      <c r="C350" s="101"/>
      <c r="D350" s="101"/>
      <c r="E350" s="101"/>
      <c r="F350" s="101"/>
      <c r="G350" s="101"/>
      <c r="H350" s="101"/>
      <c r="I350" s="101"/>
      <c r="J350" s="101"/>
      <c r="K350" s="101"/>
      <c r="L350"/>
      <c r="M350"/>
      <c r="N350"/>
      <c r="O350" s="101"/>
      <c r="P350" s="101"/>
    </row>
    <row r="351" spans="1:30">
      <c r="C351" s="101"/>
      <c r="D351" s="101"/>
      <c r="E351" s="101"/>
      <c r="F351" s="101"/>
      <c r="G351" s="101"/>
      <c r="H351" s="101"/>
      <c r="I351" s="101"/>
      <c r="J351" s="101"/>
      <c r="K351" s="945" t="s">
        <v>34</v>
      </c>
      <c r="L351" s="946" t="s">
        <v>34</v>
      </c>
      <c r="M351" s="101"/>
      <c r="N351" s="101"/>
    </row>
    <row r="352" spans="1:30">
      <c r="B352" s="945" t="s">
        <v>20</v>
      </c>
      <c r="C352" s="946" t="s">
        <v>3145</v>
      </c>
      <c r="D352" s="101"/>
      <c r="E352" s="101"/>
      <c r="G352" s="101"/>
      <c r="H352" s="101"/>
      <c r="I352" s="101"/>
      <c r="J352" s="101"/>
      <c r="K352" s="427"/>
      <c r="M352" s="101"/>
      <c r="N352" s="101"/>
    </row>
    <row r="353" spans="2:23" ht="15.6">
      <c r="B353" s="945" t="s">
        <v>34</v>
      </c>
      <c r="C353" s="946" t="s">
        <v>34</v>
      </c>
      <c r="D353" s="101"/>
      <c r="E353" s="101"/>
      <c r="G353" s="101"/>
      <c r="H353" s="101"/>
      <c r="I353" s="101"/>
      <c r="J353" s="101"/>
      <c r="K353" s="946"/>
      <c r="L353" s="945" t="s">
        <v>1866</v>
      </c>
      <c r="M353" s="946"/>
      <c r="N353"/>
      <c r="O353"/>
      <c r="P353" s="390"/>
      <c r="Q353" s="390"/>
      <c r="R353" s="390"/>
      <c r="S353" s="390"/>
      <c r="T353" s="390"/>
      <c r="U353" s="390"/>
      <c r="V353" s="390"/>
      <c r="W353" s="390"/>
    </row>
    <row r="354" spans="2:23" ht="15.6">
      <c r="B354" s="427"/>
      <c r="D354" s="101"/>
      <c r="E354" s="101"/>
      <c r="G354" s="101"/>
      <c r="H354" s="101"/>
      <c r="I354" s="101"/>
      <c r="J354" s="101"/>
      <c r="K354" s="945" t="s">
        <v>1867</v>
      </c>
      <c r="L354" s="946" t="s">
        <v>3144</v>
      </c>
      <c r="M354" s="946" t="s">
        <v>3145</v>
      </c>
      <c r="N354"/>
      <c r="O354"/>
    </row>
    <row r="355" spans="2:23" ht="15.6">
      <c r="B355" s="946" t="s">
        <v>2930</v>
      </c>
      <c r="C355" s="946" t="s">
        <v>2931</v>
      </c>
      <c r="D355" s="946" t="s">
        <v>2929</v>
      </c>
      <c r="E355" s="946" t="s">
        <v>2955</v>
      </c>
      <c r="G355" s="101"/>
      <c r="H355" s="101"/>
      <c r="I355" s="101"/>
      <c r="J355" s="101"/>
      <c r="K355" s="948" t="s">
        <v>3051</v>
      </c>
      <c r="L355" s="950">
        <v>0.96142857142857152</v>
      </c>
      <c r="M355" s="950">
        <v>0.96874999999999989</v>
      </c>
      <c r="N355"/>
      <c r="O355"/>
    </row>
    <row r="356" spans="2:23" ht="15.6">
      <c r="B356" s="950">
        <v>0.96875000000000011</v>
      </c>
      <c r="C356" s="950">
        <v>0.92428571428571427</v>
      </c>
      <c r="D356" s="950">
        <v>0.87249999999999994</v>
      </c>
      <c r="E356" s="950">
        <v>0.98199999999999998</v>
      </c>
      <c r="G356" s="101"/>
      <c r="H356" s="101"/>
      <c r="I356" s="101"/>
      <c r="J356" s="101"/>
      <c r="K356" s="948" t="s">
        <v>2933</v>
      </c>
      <c r="L356" s="950">
        <v>0.97428571428571431</v>
      </c>
      <c r="M356" s="950">
        <v>0.92428571428571427</v>
      </c>
      <c r="N356"/>
      <c r="O356"/>
    </row>
    <row r="357" spans="2:23" ht="15.6">
      <c r="B357" s="101"/>
      <c r="C357" s="101"/>
      <c r="D357" s="101"/>
      <c r="E357" s="101"/>
      <c r="G357" s="101"/>
      <c r="H357" s="101"/>
      <c r="I357" s="101"/>
      <c r="J357" s="101"/>
      <c r="K357" s="948" t="s">
        <v>2934</v>
      </c>
      <c r="L357" s="950">
        <v>0.93285714285714272</v>
      </c>
      <c r="M357" s="950">
        <v>0.87250000000000005</v>
      </c>
      <c r="N357"/>
      <c r="O357"/>
    </row>
    <row r="358" spans="2:23" ht="15.6">
      <c r="D358" s="101"/>
      <c r="E358" s="101"/>
      <c r="G358" s="101"/>
      <c r="H358" s="101"/>
      <c r="I358" s="101"/>
      <c r="J358" s="101"/>
      <c r="K358" s="948" t="s">
        <v>2956</v>
      </c>
      <c r="L358" s="950">
        <v>0.96714285714285719</v>
      </c>
      <c r="M358" s="950">
        <v>0.98199999999999998</v>
      </c>
      <c r="N358"/>
      <c r="O358"/>
    </row>
    <row r="359" spans="2:23" ht="15.6">
      <c r="C359" s="613" t="s">
        <v>41</v>
      </c>
      <c r="D359" s="101" t="s">
        <v>125</v>
      </c>
      <c r="E359" s="101"/>
      <c r="G359" s="101"/>
      <c r="H359" s="101"/>
      <c r="I359" s="101"/>
      <c r="J359" s="101"/>
      <c r="K359" s="101"/>
      <c r="L359"/>
      <c r="M359"/>
    </row>
    <row r="360" spans="2:23" ht="15.6">
      <c r="B360" s="622" t="s">
        <v>2932</v>
      </c>
      <c r="C360" s="623">
        <f>GETPIVOTDATA("Average of %_of_affected_people_surveyed_who_report_feeling_satistfied_with_the_latrine_design_and_sanitation_service",$B$355)</f>
        <v>0.96875000000000011</v>
      </c>
      <c r="D360" s="623">
        <f>1-C360</f>
        <v>3.1249999999999889E-2</v>
      </c>
      <c r="E360" s="101"/>
      <c r="G360" s="101"/>
      <c r="H360" s="101"/>
      <c r="I360" s="101"/>
      <c r="J360" s="101"/>
      <c r="K360" s="101"/>
      <c r="L360"/>
      <c r="M360"/>
    </row>
    <row r="361" spans="2:23" ht="15.6">
      <c r="B361" s="614" t="s">
        <v>2933</v>
      </c>
      <c r="C361" s="616">
        <f>GETPIVOTDATA("Average of %_of_affected_people_surveyed_who_report_feeling_satistfied_with_the_water_point_design_and_water_service",$B$355)</f>
        <v>0.92428571428571427</v>
      </c>
      <c r="D361" s="616">
        <f t="shared" ref="D361:D363" si="2">1-C361</f>
        <v>7.5714285714285734E-2</v>
      </c>
      <c r="E361" s="101"/>
      <c r="G361" s="101"/>
      <c r="H361" s="101"/>
      <c r="I361" s="101"/>
      <c r="J361" s="101"/>
      <c r="K361" s="101"/>
      <c r="L361"/>
      <c r="M361"/>
    </row>
    <row r="362" spans="2:23">
      <c r="B362" s="615" t="s">
        <v>2934</v>
      </c>
      <c r="C362" s="617">
        <f>GETPIVOTDATA("Average of %_of_complaints_received_that_result_in_timely_corrective_action_and_feedback_to_the_community",$B$355)</f>
        <v>0.87249999999999994</v>
      </c>
      <c r="D362" s="617">
        <f t="shared" si="2"/>
        <v>0.12750000000000006</v>
      </c>
      <c r="E362" s="101"/>
      <c r="G362" s="101"/>
      <c r="H362" s="101"/>
      <c r="I362" s="101"/>
      <c r="J362" s="101"/>
      <c r="K362" s="777" t="s">
        <v>1867</v>
      </c>
      <c r="L362" s="614" t="s">
        <v>3043</v>
      </c>
      <c r="M362" s="614" t="s">
        <v>3044</v>
      </c>
      <c r="N362" s="614" t="s">
        <v>3045</v>
      </c>
      <c r="O362" s="614" t="s">
        <v>3046</v>
      </c>
      <c r="R362" s="782" t="s">
        <v>3038</v>
      </c>
    </row>
    <row r="363" spans="2:23">
      <c r="B363" s="615" t="s">
        <v>2956</v>
      </c>
      <c r="C363" s="617">
        <f>GETPIVOTDATA("Average of %_of_affected_people_surveyed_who_report_feeling_informed_about_the_different_WASH_services_available_to_them",$B$355)</f>
        <v>0.98199999999999998</v>
      </c>
      <c r="D363" s="617">
        <f t="shared" si="2"/>
        <v>1.8000000000000016E-2</v>
      </c>
      <c r="E363" s="101"/>
      <c r="G363" s="101"/>
      <c r="H363" s="101"/>
      <c r="I363" s="101"/>
      <c r="J363" s="101"/>
      <c r="K363" s="778" t="s">
        <v>3051</v>
      </c>
      <c r="L363" s="617">
        <v>0.95600000000000007</v>
      </c>
      <c r="M363" s="783">
        <v>0.92437500000000006</v>
      </c>
      <c r="N363" s="783">
        <v>0.92222222222222228</v>
      </c>
      <c r="O363" s="784">
        <v>0.9394117647058825</v>
      </c>
      <c r="P363" s="780">
        <f>AVERAGE(L363:O363)</f>
        <v>0.9355022467320262</v>
      </c>
      <c r="Q363" s="780"/>
      <c r="R363" s="781"/>
    </row>
    <row r="364" spans="2:23">
      <c r="C364" s="101"/>
      <c r="D364" s="101"/>
      <c r="E364" s="101"/>
      <c r="F364" s="101"/>
      <c r="G364" s="101"/>
      <c r="H364" s="101"/>
      <c r="I364" s="101"/>
      <c r="J364" s="101"/>
      <c r="K364" s="778" t="s">
        <v>2933</v>
      </c>
      <c r="L364" s="804">
        <v>0.96400000000000008</v>
      </c>
      <c r="M364" s="785">
        <v>0.95062500000000005</v>
      </c>
      <c r="N364" s="785">
        <v>0.96277777777777773</v>
      </c>
      <c r="O364" s="786">
        <v>0.96705882352941186</v>
      </c>
      <c r="P364" s="780">
        <f t="shared" ref="P364:P366" si="3">AVERAGE(L364:O364)</f>
        <v>0.96111540032679743</v>
      </c>
      <c r="Q364" s="780">
        <f>AVERAGE(P363:P364)</f>
        <v>0.94830882352941182</v>
      </c>
      <c r="R364" s="780">
        <v>0.64174968071519789</v>
      </c>
      <c r="S364" s="779">
        <f>AVERAGE(Q364:R364)</f>
        <v>0.7950292521223048</v>
      </c>
    </row>
    <row r="365" spans="2:23">
      <c r="C365" s="101"/>
      <c r="D365" s="101"/>
      <c r="E365" s="101"/>
      <c r="F365" s="101"/>
      <c r="G365" s="101"/>
      <c r="H365" s="101"/>
      <c r="I365" s="101"/>
      <c r="J365" s="101"/>
      <c r="K365" s="778" t="s">
        <v>2934</v>
      </c>
      <c r="L365" s="617">
        <v>0.91363636363636369</v>
      </c>
      <c r="M365" s="783">
        <v>0.90750000000000008</v>
      </c>
      <c r="N365" s="783">
        <v>0.79785714285714282</v>
      </c>
      <c r="O365" s="784">
        <v>0.89235294117647057</v>
      </c>
      <c r="P365" s="97">
        <f t="shared" si="3"/>
        <v>0.87783661191749429</v>
      </c>
      <c r="R365" s="97">
        <v>0.42</v>
      </c>
      <c r="S365" s="779">
        <f>AVERAGE(P365:R365)</f>
        <v>0.64891830595874711</v>
      </c>
    </row>
    <row r="366" spans="2:23">
      <c r="C366" s="101"/>
      <c r="D366" s="101"/>
      <c r="E366" s="101"/>
      <c r="F366" s="101"/>
      <c r="G366" s="101"/>
      <c r="H366" s="101"/>
      <c r="I366" s="101"/>
      <c r="J366" s="101"/>
      <c r="K366" s="778" t="s">
        <v>2956</v>
      </c>
      <c r="L366" s="804">
        <v>0.66583333333333339</v>
      </c>
      <c r="M366" s="785">
        <v>0</v>
      </c>
      <c r="N366" s="785">
        <v>0.87942760942760934</v>
      </c>
      <c r="O366" s="786">
        <v>0.98499999999999988</v>
      </c>
      <c r="P366" s="97">
        <f t="shared" si="3"/>
        <v>0.63256523569023559</v>
      </c>
    </row>
    <row r="367" spans="2:23">
      <c r="C367" s="743"/>
      <c r="D367" s="743"/>
      <c r="E367" s="101"/>
      <c r="F367" s="101"/>
      <c r="G367" s="101"/>
      <c r="H367" s="101"/>
      <c r="I367" s="101"/>
      <c r="J367" s="101"/>
      <c r="K367" s="101"/>
    </row>
    <row r="368" spans="2:23">
      <c r="C368" s="743"/>
      <c r="D368" s="743"/>
      <c r="E368" s="101"/>
      <c r="F368" s="101"/>
      <c r="G368" s="101"/>
      <c r="H368" s="101"/>
      <c r="I368" s="101"/>
      <c r="J368" s="101"/>
      <c r="K368" s="101"/>
    </row>
    <row r="369" spans="3:33">
      <c r="C369" s="743"/>
      <c r="D369" s="743"/>
      <c r="E369" s="101"/>
      <c r="F369" s="101"/>
      <c r="G369" s="101"/>
      <c r="H369" s="101"/>
      <c r="I369" s="101"/>
      <c r="J369" s="101"/>
      <c r="K369" s="101"/>
    </row>
    <row r="370" spans="3:33">
      <c r="C370" s="427"/>
      <c r="E370" s="101"/>
      <c r="F370" s="101"/>
      <c r="G370" s="101"/>
      <c r="H370" s="101"/>
      <c r="I370" s="101"/>
      <c r="J370" s="101"/>
      <c r="K370" s="101"/>
    </row>
    <row r="371" spans="3:33" ht="15.6">
      <c r="C371"/>
      <c r="D371"/>
      <c r="E371"/>
      <c r="F371"/>
      <c r="G371"/>
      <c r="H371"/>
      <c r="I371" s="101"/>
      <c r="J371" s="600"/>
      <c r="K371" s="60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row>
    <row r="372" spans="3:33" ht="15.6">
      <c r="C372"/>
      <c r="D372"/>
      <c r="E372"/>
      <c r="F372"/>
      <c r="G372"/>
      <c r="H372"/>
      <c r="I372" s="660"/>
      <c r="J372" s="101"/>
      <c r="K372" s="101"/>
    </row>
    <row r="373" spans="3:33" ht="15.6">
      <c r="C373"/>
      <c r="D373"/>
      <c r="E373"/>
      <c r="F373"/>
      <c r="G373"/>
      <c r="H373"/>
      <c r="I373" s="660"/>
      <c r="J373" s="101"/>
      <c r="K373" s="101"/>
    </row>
    <row r="374" spans="3:33" ht="15.6">
      <c r="C374"/>
      <c r="D374"/>
      <c r="E374"/>
      <c r="F374"/>
      <c r="G374"/>
      <c r="H374"/>
      <c r="I374" s="660"/>
      <c r="J374" s="101"/>
      <c r="K374" s="101"/>
    </row>
    <row r="375" spans="3:33" ht="15.6">
      <c r="C375"/>
      <c r="D375"/>
      <c r="E375"/>
      <c r="F375"/>
      <c r="G375"/>
      <c r="H375"/>
      <c r="I375" s="101"/>
      <c r="J375" s="101"/>
      <c r="K375" s="101"/>
    </row>
    <row r="376" spans="3:33" ht="15.6">
      <c r="C376"/>
      <c r="D376"/>
      <c r="E376"/>
      <c r="F376"/>
      <c r="G376"/>
      <c r="H376"/>
      <c r="I376" s="101"/>
      <c r="J376" s="101"/>
      <c r="K376" s="101"/>
    </row>
    <row r="377" spans="3:33">
      <c r="C377" s="101"/>
      <c r="D377" s="101"/>
      <c r="E377" s="101"/>
      <c r="F377" s="101"/>
      <c r="G377" s="101"/>
      <c r="H377" s="101"/>
      <c r="I377" s="101"/>
      <c r="J377" s="101"/>
      <c r="K377" s="101"/>
    </row>
    <row r="378" spans="3:33">
      <c r="C378" s="101"/>
      <c r="D378" s="101"/>
      <c r="E378" s="101"/>
      <c r="F378" s="101"/>
      <c r="G378" s="672"/>
      <c r="H378" s="101"/>
      <c r="I378" s="101"/>
      <c r="J378" s="101"/>
      <c r="K378" s="101"/>
    </row>
    <row r="379" spans="3:33" ht="15.6">
      <c r="C379" s="448"/>
      <c r="D379" s="101"/>
      <c r="E379" s="101"/>
      <c r="F379" s="101"/>
      <c r="G379" s="101"/>
      <c r="H379" s="101"/>
      <c r="I379" s="101"/>
      <c r="J379" s="101"/>
      <c r="K379" s="101"/>
    </row>
    <row r="380" spans="3:33" ht="15.6">
      <c r="C380" s="448"/>
      <c r="D380" s="101"/>
      <c r="E380" s="101"/>
      <c r="F380" s="101"/>
      <c r="G380" s="101"/>
      <c r="H380" s="101"/>
      <c r="I380" s="101"/>
      <c r="J380" s="101"/>
      <c r="K380" s="101"/>
    </row>
    <row r="381" spans="3:33" ht="15.6">
      <c r="C381" s="448"/>
      <c r="D381" s="101"/>
      <c r="E381" s="101"/>
      <c r="F381" s="101"/>
      <c r="G381" s="101"/>
      <c r="H381" s="101"/>
      <c r="I381" s="101"/>
      <c r="J381" s="101"/>
      <c r="K381" s="101"/>
    </row>
    <row r="382" spans="3:33">
      <c r="C382" s="101"/>
      <c r="D382" s="101"/>
      <c r="E382" s="101"/>
      <c r="F382" s="101"/>
      <c r="G382" s="101"/>
      <c r="H382" s="101"/>
      <c r="I382" s="101"/>
      <c r="J382" s="101"/>
      <c r="K382" s="101"/>
    </row>
    <row r="383" spans="3:33">
      <c r="C383" s="101"/>
      <c r="D383" s="101"/>
      <c r="E383" s="101"/>
      <c r="F383" s="101"/>
      <c r="G383" s="101"/>
      <c r="H383" s="101"/>
      <c r="I383" s="101"/>
      <c r="J383" s="101"/>
      <c r="K383" s="101"/>
    </row>
    <row r="384" spans="3:33">
      <c r="C384" s="743"/>
      <c r="D384" s="743"/>
      <c r="E384" s="101"/>
      <c r="F384" s="101"/>
      <c r="G384" s="101"/>
      <c r="H384" s="101"/>
      <c r="I384" s="101"/>
      <c r="J384" s="101"/>
      <c r="K384" s="101"/>
    </row>
    <row r="385" spans="3:11">
      <c r="C385" s="743"/>
      <c r="D385" s="743"/>
      <c r="E385" s="101"/>
      <c r="F385" s="101"/>
      <c r="G385" s="101"/>
      <c r="H385" s="101"/>
      <c r="I385" s="101"/>
      <c r="J385" s="101"/>
      <c r="K385" s="101"/>
    </row>
    <row r="386" spans="3:11">
      <c r="C386" s="743"/>
      <c r="D386" s="743"/>
      <c r="E386" s="101"/>
      <c r="F386" s="101"/>
      <c r="G386" s="101"/>
      <c r="H386" s="101"/>
      <c r="I386" s="101"/>
      <c r="J386" s="101"/>
      <c r="K386" s="101"/>
    </row>
    <row r="387" spans="3:11">
      <c r="C387" s="427"/>
      <c r="E387" s="101"/>
      <c r="F387" s="101"/>
      <c r="G387" s="101"/>
      <c r="H387" s="101"/>
      <c r="I387" s="101"/>
      <c r="J387" s="101"/>
      <c r="K387" s="101"/>
    </row>
    <row r="388" spans="3:11" ht="15.6">
      <c r="C388"/>
      <c r="D388"/>
      <c r="E388"/>
      <c r="F388"/>
      <c r="G388"/>
      <c r="H388"/>
      <c r="I388" s="101"/>
      <c r="J388" s="600"/>
      <c r="K388" s="600"/>
    </row>
    <row r="389" spans="3:11" ht="15.6">
      <c r="C389"/>
      <c r="D389"/>
      <c r="E389"/>
      <c r="F389"/>
      <c r="G389"/>
      <c r="H389"/>
      <c r="I389" s="101"/>
      <c r="J389" s="101"/>
      <c r="K389" s="101"/>
    </row>
    <row r="390" spans="3:11" ht="15.6">
      <c r="C390"/>
      <c r="D390"/>
      <c r="E390"/>
      <c r="F390"/>
      <c r="G390"/>
      <c r="H390"/>
      <c r="I390" s="101"/>
      <c r="J390" s="101"/>
      <c r="K390" s="101"/>
    </row>
    <row r="391" spans="3:11" ht="15.6">
      <c r="C391"/>
      <c r="D391"/>
      <c r="E391"/>
      <c r="F391"/>
      <c r="G391"/>
      <c r="H391"/>
      <c r="I391" s="101"/>
      <c r="J391" s="101"/>
      <c r="K391" s="101"/>
    </row>
    <row r="392" spans="3:11" ht="15.6">
      <c r="C392"/>
      <c r="D392"/>
      <c r="E392"/>
      <c r="F392"/>
      <c r="G392"/>
      <c r="H392"/>
      <c r="I392" s="101"/>
      <c r="J392" s="101"/>
      <c r="K392" s="101"/>
    </row>
    <row r="393" spans="3:11" ht="15.6">
      <c r="C393"/>
      <c r="D393"/>
      <c r="E393"/>
      <c r="F393"/>
      <c r="G393"/>
      <c r="H393"/>
      <c r="I393" s="101"/>
      <c r="J393" s="101"/>
      <c r="K393" s="101"/>
    </row>
    <row r="394" spans="3:11">
      <c r="C394" s="101"/>
      <c r="D394" s="101"/>
      <c r="E394" s="101"/>
      <c r="F394" s="101"/>
      <c r="G394" s="101"/>
      <c r="H394" s="101"/>
      <c r="I394" s="101"/>
      <c r="J394" s="101"/>
      <c r="K394" s="101"/>
    </row>
    <row r="395" spans="3:11" ht="15.6">
      <c r="C395" s="448"/>
      <c r="D395" s="448"/>
      <c r="E395" s="448"/>
      <c r="F395" s="101"/>
      <c r="G395" s="101"/>
      <c r="H395" s="101"/>
      <c r="I395" s="101"/>
      <c r="J395" s="101"/>
      <c r="K395" s="101"/>
    </row>
    <row r="396" spans="3:11" ht="15.6">
      <c r="C396" s="448"/>
      <c r="D396" s="448"/>
      <c r="E396" s="448"/>
      <c r="F396" s="101"/>
      <c r="G396" s="101"/>
      <c r="H396" s="101"/>
      <c r="I396" s="101"/>
      <c r="J396" s="101"/>
      <c r="K396" s="101"/>
    </row>
    <row r="397" spans="3:11" ht="15.6">
      <c r="C397" s="448"/>
      <c r="D397" s="448"/>
      <c r="E397" s="448"/>
      <c r="F397" s="101"/>
      <c r="G397" s="101"/>
      <c r="H397" s="101"/>
      <c r="I397" s="101"/>
      <c r="J397" s="101"/>
      <c r="K397" s="101"/>
    </row>
    <row r="398" spans="3:11" ht="15.6">
      <c r="C398" s="448"/>
      <c r="D398" s="448"/>
      <c r="E398" s="448"/>
      <c r="F398" s="101"/>
      <c r="G398" s="101"/>
      <c r="H398" s="101"/>
      <c r="I398" s="101"/>
      <c r="J398" s="101"/>
      <c r="K398" s="101"/>
    </row>
    <row r="399" spans="3:11" ht="15.6">
      <c r="C399" s="448"/>
      <c r="D399" s="448"/>
      <c r="E399" s="448"/>
      <c r="F399" s="101"/>
      <c r="G399" s="101"/>
      <c r="H399" s="101"/>
      <c r="I399" s="101"/>
      <c r="J399" s="101"/>
      <c r="K399" s="101"/>
    </row>
    <row r="400" spans="3:11" ht="15.6">
      <c r="C400" s="448"/>
      <c r="D400" s="448"/>
      <c r="E400" s="448"/>
      <c r="F400" s="101"/>
      <c r="G400" s="101"/>
      <c r="H400" s="101"/>
      <c r="I400" s="101"/>
      <c r="J400" s="101"/>
      <c r="K400" s="101"/>
    </row>
    <row r="401" spans="3:11" ht="15.6">
      <c r="C401" s="448"/>
      <c r="D401" s="448"/>
      <c r="E401" s="448"/>
      <c r="F401" s="101"/>
      <c r="G401" s="101"/>
      <c r="H401" s="101"/>
      <c r="I401" s="101"/>
      <c r="J401" s="101"/>
      <c r="K401" s="101"/>
    </row>
    <row r="402" spans="3:11" ht="15.6">
      <c r="C402" s="448"/>
      <c r="D402" s="448"/>
      <c r="E402" s="448"/>
      <c r="F402" s="101"/>
      <c r="G402" s="101"/>
      <c r="H402" s="101"/>
      <c r="I402" s="101"/>
      <c r="J402" s="101"/>
      <c r="K402" s="101"/>
    </row>
    <row r="403" spans="3:11" ht="15.6">
      <c r="C403" s="448"/>
      <c r="D403" s="448"/>
      <c r="E403" s="448"/>
      <c r="F403" s="101"/>
      <c r="G403" s="101"/>
      <c r="H403" s="101"/>
      <c r="I403" s="101"/>
      <c r="J403" s="101"/>
      <c r="K403" s="101"/>
    </row>
    <row r="404" spans="3:11">
      <c r="C404" s="101"/>
      <c r="D404" s="101"/>
      <c r="E404" s="101"/>
      <c r="F404" s="101"/>
      <c r="G404" s="101"/>
      <c r="H404" s="101"/>
      <c r="I404" s="101"/>
      <c r="J404" s="101"/>
      <c r="K404" s="101"/>
    </row>
  </sheetData>
  <mergeCells count="1">
    <mergeCell ref="S45:T45"/>
  </mergeCells>
  <phoneticPr fontId="147" type="noConversion"/>
  <conditionalFormatting pivot="1">
    <cfRule type="iconSet" priority="9">
      <iconSet reverse="1">
        <cfvo type="percent" val="0"/>
        <cfvo type="percent" val="3"/>
        <cfvo type="percent" val="5"/>
      </iconSet>
    </cfRule>
  </conditionalFormatting>
  <conditionalFormatting sqref="G388">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1"/>
  <drawing r:id="rId32"/>
  <extLst>
    <ext xmlns:x14="http://schemas.microsoft.com/office/spreadsheetml/2009/9/main" uri="{A8765BA9-456A-4dab-B4F3-ACF838C121DE}">
      <x14:slicerList>
        <x14:slicer r:id="rId3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zoomScale="70" zoomScaleNormal="60" zoomScaleSheetLayoutView="70" zoomScalePageLayoutView="80" workbookViewId="0">
      <selection activeCell="W16" sqref="W16"/>
    </sheetView>
  </sheetViews>
  <sheetFormatPr defaultColWidth="9" defaultRowHeight="13.8"/>
  <cols>
    <col min="1" max="1" width="1.296875" style="17" customWidth="1"/>
    <col min="2" max="2" width="12.3984375" style="17" customWidth="1"/>
    <col min="3" max="3" width="15.69921875" style="17" customWidth="1"/>
    <col min="4" max="4" width="8" style="17" customWidth="1"/>
    <col min="5" max="5" width="10" style="17" customWidth="1"/>
    <col min="6" max="6" width="13.69921875" style="17" customWidth="1"/>
    <col min="7" max="7" width="12.796875" style="17" customWidth="1"/>
    <col min="8" max="8" width="11.5" style="17" customWidth="1"/>
    <col min="9" max="9" width="1.3984375" style="17" customWidth="1"/>
    <col min="10" max="10" width="9" style="17"/>
    <col min="11" max="11" width="8" style="17" customWidth="1"/>
    <col min="12" max="12" width="18" style="17" customWidth="1"/>
    <col min="13" max="13" width="8" style="17" customWidth="1"/>
    <col min="14" max="14" width="14.796875" style="17" customWidth="1"/>
    <col min="15" max="15" width="10.69921875" style="17" customWidth="1"/>
    <col min="16" max="16" width="31.19921875" style="17" customWidth="1"/>
    <col min="17" max="18" width="9" style="17"/>
    <col min="19" max="19" width="12" style="17" customWidth="1"/>
    <col min="20" max="20" width="1.19921875" style="17" customWidth="1"/>
    <col min="21" max="21" width="2.296875" style="17" customWidth="1"/>
    <col min="22" max="22" width="8.09765625" style="17" customWidth="1"/>
    <col min="23" max="23" width="30.796875" style="17" customWidth="1"/>
    <col min="24" max="24" width="8.09765625" style="17" customWidth="1"/>
    <col min="25" max="25" width="3.796875" style="17" customWidth="1"/>
    <col min="26" max="26" width="16.09765625" style="17" bestFit="1" customWidth="1"/>
    <col min="27" max="27" width="9" style="17"/>
    <col min="28" max="28" width="21.69921875" style="17" bestFit="1" customWidth="1"/>
    <col min="29" max="29" width="13.19921875" style="17" customWidth="1"/>
    <col min="30" max="16384" width="9" style="17"/>
  </cols>
  <sheetData>
    <row r="1" spans="1:30" ht="45.75" customHeight="1">
      <c r="A1" s="424"/>
      <c r="B1" s="1038" t="s">
        <v>3194</v>
      </c>
      <c r="C1" s="1038"/>
      <c r="D1" s="1038"/>
      <c r="E1" s="1038"/>
      <c r="F1" s="1038"/>
      <c r="G1" s="1038"/>
      <c r="H1" s="1038"/>
      <c r="I1" s="1038"/>
      <c r="J1" s="1038"/>
      <c r="K1" s="1038"/>
      <c r="L1" s="1038"/>
      <c r="M1" s="1038"/>
      <c r="N1" s="1038"/>
      <c r="O1" s="1038"/>
      <c r="P1" s="1038"/>
      <c r="Q1" s="1038"/>
      <c r="R1" s="1038"/>
      <c r="S1" s="1038"/>
      <c r="T1" s="1038"/>
      <c r="U1" s="1038"/>
      <c r="V1" s="151"/>
      <c r="W1" s="151"/>
      <c r="X1" s="151"/>
      <c r="Y1" s="151"/>
      <c r="Z1" s="151"/>
      <c r="AA1" s="151"/>
      <c r="AB1" s="151"/>
      <c r="AC1" s="151"/>
    </row>
    <row r="8" spans="1:30">
      <c r="AD8" s="17" t="s">
        <v>1916</v>
      </c>
    </row>
    <row r="31" ht="20.55" customHeight="1"/>
    <row r="33" ht="33" customHeight="1"/>
    <row r="41" ht="15" customHeight="1"/>
    <row r="43" ht="18" customHeight="1"/>
    <row r="44" ht="24.75" customHeight="1"/>
    <row r="50" spans="2:27" ht="15.6">
      <c r="V50"/>
    </row>
    <row r="51" spans="2:27" ht="15.6">
      <c r="V51" s="448"/>
      <c r="W51" s="448"/>
    </row>
    <row r="52" spans="2:27" ht="15.6">
      <c r="V52" s="448"/>
      <c r="W52" s="448"/>
    </row>
    <row r="53" spans="2:27" ht="15.6">
      <c r="V53" s="448"/>
      <c r="W53" s="448"/>
    </row>
    <row r="54" spans="2:27" ht="20.55" customHeight="1">
      <c r="V54" s="448"/>
      <c r="W54" s="448"/>
    </row>
    <row r="55" spans="2:27" ht="19.95" customHeight="1"/>
    <row r="57" spans="2:27" ht="15.6">
      <c r="X57"/>
      <c r="Y57"/>
    </row>
    <row r="58" spans="2:27" ht="21.75" customHeight="1">
      <c r="B58" s="638"/>
      <c r="C58" s="638"/>
      <c r="D58" s="638"/>
      <c r="E58" s="638"/>
      <c r="F58" s="638"/>
      <c r="G58" s="638"/>
      <c r="V58" s="160"/>
      <c r="W58"/>
      <c r="X58"/>
      <c r="Y58"/>
      <c r="Z58"/>
    </row>
    <row r="59" spans="2:27" ht="15.6">
      <c r="V59" s="160"/>
      <c r="W59" s="347"/>
      <c r="X59" s="347"/>
      <c r="Y59" s="347"/>
      <c r="Z59"/>
    </row>
    <row r="60" spans="2:27" ht="15.6">
      <c r="V60" s="448"/>
      <c r="W60" s="448"/>
      <c r="Y60" s="347"/>
      <c r="Z60"/>
    </row>
    <row r="61" spans="2:27" s="454" customFormat="1" ht="15.6">
      <c r="V61" s="465"/>
      <c r="W61" s="465"/>
      <c r="Y61" s="465"/>
      <c r="Z61" s="465"/>
    </row>
    <row r="62" spans="2:27" s="454" customFormat="1" ht="25.5" customHeight="1">
      <c r="W62" s="465"/>
      <c r="X62" s="465"/>
      <c r="Z62" s="465"/>
      <c r="AA62" s="465"/>
    </row>
    <row r="63" spans="2:27" s="454" customFormat="1" ht="15.6">
      <c r="W63" s="465"/>
      <c r="X63" s="465"/>
      <c r="Z63" s="465"/>
      <c r="AA63" s="465"/>
    </row>
    <row r="64" spans="2:27" s="454" customFormat="1" ht="23.25" customHeight="1">
      <c r="W64" s="465"/>
      <c r="X64" s="465"/>
      <c r="Z64" s="465"/>
      <c r="AA64" s="465"/>
    </row>
    <row r="65" spans="2:27" ht="9.6" customHeight="1">
      <c r="W65" s="448"/>
      <c r="X65" s="448"/>
      <c r="Z65" s="347"/>
      <c r="AA65"/>
    </row>
    <row r="66" spans="2:27" ht="55.2" customHeight="1">
      <c r="B66" s="808" t="s">
        <v>3050</v>
      </c>
      <c r="C66" s="639" t="s">
        <v>1893</v>
      </c>
      <c r="D66" s="639" t="s">
        <v>3004</v>
      </c>
      <c r="E66" s="640" t="s">
        <v>1871</v>
      </c>
      <c r="F66" s="640" t="s">
        <v>1894</v>
      </c>
      <c r="G66" s="640" t="s">
        <v>1895</v>
      </c>
      <c r="H66" s="641" t="s">
        <v>1896</v>
      </c>
      <c r="W66" s="448"/>
      <c r="X66" s="448"/>
      <c r="Y66" s="347"/>
      <c r="Z66" s="347"/>
      <c r="AA66"/>
    </row>
    <row r="67" spans="2:27" ht="26.25" customHeight="1">
      <c r="B67" s="625" t="s">
        <v>356</v>
      </c>
      <c r="C67" s="626" t="s">
        <v>2256</v>
      </c>
      <c r="D67" s="626">
        <v>1</v>
      </c>
      <c r="E67" s="627">
        <v>1084</v>
      </c>
      <c r="F67" s="628">
        <v>0</v>
      </c>
      <c r="G67" s="628">
        <v>0</v>
      </c>
      <c r="H67" s="628">
        <v>0</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6">
      <c r="B69" s="625" t="s">
        <v>401</v>
      </c>
      <c r="C69" s="626" t="s">
        <v>3047</v>
      </c>
      <c r="D69" s="626">
        <v>5</v>
      </c>
      <c r="E69" s="627">
        <v>24835</v>
      </c>
      <c r="F69" s="628">
        <v>0</v>
      </c>
      <c r="G69" s="628">
        <v>0.18788000805315075</v>
      </c>
      <c r="H69" s="628">
        <v>0</v>
      </c>
      <c r="V69" s="448"/>
      <c r="W69" s="448"/>
      <c r="X69" s="347"/>
      <c r="Y69" s="347"/>
      <c r="Z69"/>
    </row>
    <row r="70" spans="2:27" ht="31.8" thickBot="1">
      <c r="B70" s="630" t="s">
        <v>294</v>
      </c>
      <c r="C70" s="631" t="s">
        <v>3036</v>
      </c>
      <c r="D70" s="631">
        <v>14</v>
      </c>
      <c r="E70" s="632">
        <v>91149</v>
      </c>
      <c r="F70" s="633">
        <v>0</v>
      </c>
      <c r="G70" s="633">
        <v>0.14000153594663678</v>
      </c>
      <c r="H70" s="964">
        <v>1.5603678949202004E-3</v>
      </c>
      <c r="W70" s="347"/>
      <c r="X70" s="347"/>
      <c r="Y70" s="347"/>
      <c r="Z70"/>
    </row>
    <row r="71" spans="2:27" ht="21.6" customHeight="1" thickTop="1">
      <c r="B71" s="634" t="s">
        <v>1872</v>
      </c>
      <c r="C71" s="635" t="s">
        <v>1902</v>
      </c>
      <c r="D71" s="635">
        <v>21</v>
      </c>
      <c r="E71" s="636">
        <v>119988</v>
      </c>
      <c r="F71" s="758">
        <v>1.1834516785011795E-2</v>
      </c>
      <c r="G71" s="637">
        <v>0.14523952395239526</v>
      </c>
      <c r="H71" s="758">
        <v>1.0252908401290783E-2</v>
      </c>
      <c r="W71" s="347"/>
      <c r="X71" s="347"/>
      <c r="Y71" s="347"/>
      <c r="Z71"/>
    </row>
    <row r="72" spans="2:27" ht="15.6">
      <c r="V72" s="347"/>
      <c r="W72" s="347"/>
      <c r="X72" s="347"/>
      <c r="Y72" s="347"/>
      <c r="Z72" s="347"/>
    </row>
    <row r="73" spans="2:27" ht="15.6">
      <c r="V73" s="347"/>
      <c r="W73" s="347"/>
      <c r="X73" s="347"/>
      <c r="Y73" s="347"/>
      <c r="Z73" s="347"/>
    </row>
    <row r="74" spans="2:27" ht="15.6">
      <c r="V74" s="347"/>
      <c r="W74" s="347"/>
      <c r="X74" s="347"/>
      <c r="Y74" s="347"/>
      <c r="Z74" s="347"/>
    </row>
    <row r="75" spans="2:27" ht="15.6">
      <c r="V75" s="347"/>
      <c r="W75" s="347"/>
      <c r="X75" s="347"/>
      <c r="Y75" s="347"/>
      <c r="Z75" s="347"/>
    </row>
    <row r="76" spans="2:27" ht="15.6">
      <c r="V76" s="347"/>
      <c r="W76" s="347"/>
      <c r="X76" s="347"/>
      <c r="Y76" s="347"/>
      <c r="Z76" s="347"/>
    </row>
    <row r="77" spans="2:27" ht="15.6">
      <c r="V77" s="347"/>
      <c r="W77" s="347"/>
      <c r="X77" s="347"/>
      <c r="Y77" s="347"/>
      <c r="Z77" s="347"/>
    </row>
    <row r="78" spans="2:27" ht="15.6">
      <c r="V78" s="347"/>
      <c r="W78" s="347"/>
      <c r="X78" s="347"/>
      <c r="Y78" s="347"/>
      <c r="Z78" s="347"/>
    </row>
    <row r="79" spans="2:27" ht="15.6">
      <c r="V79" s="347"/>
      <c r="W79" s="347"/>
      <c r="X79" s="347"/>
      <c r="Y79" s="347"/>
      <c r="Z79" s="347"/>
    </row>
    <row r="80" spans="2:27" ht="15.6">
      <c r="V80" s="347"/>
      <c r="W80" s="347"/>
      <c r="X80" s="347"/>
      <c r="Y80" s="347"/>
      <c r="Z80" s="347"/>
    </row>
    <row r="81" spans="22:26" ht="15.6">
      <c r="V81" s="347"/>
      <c r="W81" s="347"/>
      <c r="X81" s="347"/>
      <c r="Y81" s="347"/>
      <c r="Z81" s="347"/>
    </row>
    <row r="82" spans="22:26" ht="15.6">
      <c r="V82" s="347"/>
      <c r="W82" s="347"/>
      <c r="X82" s="347"/>
      <c r="Y82" s="347"/>
      <c r="Z82" s="347"/>
    </row>
    <row r="83" spans="22:26" ht="15.6">
      <c r="V83" s="347"/>
      <c r="W83" s="347"/>
      <c r="X83" s="347"/>
      <c r="Y83" s="347"/>
      <c r="Z83" s="347"/>
    </row>
    <row r="84" spans="22:26" ht="15.6">
      <c r="V84" s="347"/>
      <c r="W84" s="347"/>
      <c r="X84" s="347"/>
      <c r="Y84" s="347"/>
      <c r="Z84" s="347"/>
    </row>
    <row r="85" spans="22:26" ht="15.6">
      <c r="V85" s="347"/>
      <c r="W85" s="347"/>
      <c r="X85" s="347"/>
      <c r="Y85" s="347"/>
      <c r="Z85" s="347"/>
    </row>
    <row r="86" spans="22:26" ht="15.6">
      <c r="V86" s="347"/>
      <c r="W86" s="347"/>
      <c r="X86" s="347"/>
      <c r="Y86" s="347"/>
      <c r="Z86" s="347"/>
    </row>
    <row r="87" spans="22:26" ht="15.6">
      <c r="V87" s="347"/>
      <c r="W87" s="347"/>
      <c r="X87" s="347"/>
      <c r="Y87" s="347"/>
      <c r="Z87" s="347"/>
    </row>
    <row r="88" spans="22:26" ht="15.6">
      <c r="V88" s="347"/>
      <c r="W88" s="347"/>
      <c r="X88" s="347"/>
      <c r="Y88" s="347"/>
      <c r="Z88" s="347"/>
    </row>
    <row r="89" spans="22:26" ht="15.6">
      <c r="V89" s="347"/>
      <c r="W89" s="347"/>
      <c r="X89" s="347"/>
      <c r="Y89" s="347"/>
      <c r="Z89" s="347"/>
    </row>
    <row r="90" spans="22:26" ht="15.6">
      <c r="V90" s="347"/>
      <c r="W90" s="347"/>
      <c r="X90" s="347"/>
      <c r="Y90" s="347"/>
      <c r="Z90" s="347"/>
    </row>
    <row r="91" spans="22:26" ht="15.6">
      <c r="V91" s="347"/>
      <c r="W91" s="347"/>
      <c r="X91" s="347"/>
      <c r="Y91" s="347"/>
      <c r="Z91" s="347"/>
    </row>
    <row r="92" spans="22:26" ht="15.6">
      <c r="V92" s="347"/>
      <c r="W92" s="347"/>
      <c r="X92" s="347"/>
      <c r="Y92" s="347"/>
      <c r="Z92" s="347"/>
    </row>
    <row r="93" spans="22:26" ht="15.6">
      <c r="V93" s="347"/>
      <c r="W93" s="347"/>
      <c r="X93" s="347"/>
      <c r="Y93" s="347"/>
      <c r="Z93" s="347"/>
    </row>
    <row r="94" spans="22:26" ht="15.6">
      <c r="V94" s="347"/>
      <c r="W94" s="347"/>
      <c r="X94" s="347"/>
      <c r="Y94" s="347"/>
      <c r="Z94" s="347"/>
    </row>
    <row r="95" spans="22:26" ht="15.6">
      <c r="V95" s="347"/>
      <c r="W95" s="347"/>
      <c r="X95" s="347"/>
      <c r="Y95" s="347"/>
      <c r="Z95" s="347"/>
    </row>
    <row r="96" spans="22:26" ht="15.6">
      <c r="V96" s="347"/>
      <c r="W96" s="347"/>
      <c r="X96" s="347"/>
      <c r="Y96" s="347"/>
      <c r="Z96" s="347"/>
    </row>
    <row r="97" spans="2:26" ht="15.6">
      <c r="V97" s="347"/>
      <c r="W97" s="347"/>
      <c r="X97" s="347"/>
      <c r="Y97" s="347"/>
      <c r="Z97" s="347"/>
    </row>
    <row r="98" spans="2:26" s="661" customFormat="1" ht="15.6">
      <c r="V98" s="659"/>
      <c r="W98" s="659"/>
      <c r="X98" s="659"/>
      <c r="Y98" s="659"/>
      <c r="Z98" s="659"/>
    </row>
    <row r="99" spans="2:26" ht="15.6">
      <c r="B99" s="662"/>
      <c r="C99" s="663"/>
      <c r="D99" s="664"/>
      <c r="E99" s="664"/>
      <c r="F99" s="665"/>
      <c r="G99" s="665"/>
      <c r="V99" s="347"/>
      <c r="W99" s="347"/>
      <c r="X99" s="347"/>
      <c r="Y99" s="347"/>
      <c r="Z99" s="347"/>
    </row>
    <row r="100" spans="2:26" ht="15.6">
      <c r="B100" s="673"/>
      <c r="C100" s="675"/>
      <c r="D100" s="676"/>
      <c r="E100" s="675"/>
      <c r="F100" s="677"/>
      <c r="G100" s="681"/>
      <c r="V100" s="448"/>
      <c r="W100" s="448"/>
      <c r="X100" s="448"/>
      <c r="Y100" s="448"/>
      <c r="Z100" s="448"/>
    </row>
    <row r="101" spans="2:26" ht="15.6">
      <c r="B101" s="673"/>
      <c r="C101" s="678"/>
      <c r="D101" s="679"/>
      <c r="E101" s="678"/>
      <c r="F101" s="680"/>
      <c r="G101" s="682"/>
      <c r="V101" s="347"/>
      <c r="W101" s="347"/>
      <c r="X101" s="347"/>
      <c r="Y101" s="347"/>
      <c r="Z101" s="347"/>
    </row>
    <row r="102" spans="2:26" ht="15.6">
      <c r="B102" s="673"/>
      <c r="C102" s="678"/>
      <c r="D102" s="679"/>
      <c r="E102" s="678"/>
      <c r="F102" s="680"/>
      <c r="G102" s="682"/>
      <c r="V102" s="347"/>
      <c r="W102" s="347"/>
      <c r="X102" s="347"/>
      <c r="Y102" s="347"/>
      <c r="Z102" s="347"/>
    </row>
    <row r="103" spans="2:26" ht="15.6">
      <c r="B103" s="673"/>
      <c r="C103" s="678"/>
      <c r="D103" s="679"/>
      <c r="E103" s="678"/>
      <c r="F103" s="680"/>
      <c r="G103" s="682"/>
      <c r="V103" s="347"/>
      <c r="W103" s="347"/>
      <c r="X103" s="347"/>
      <c r="Y103" s="347"/>
      <c r="Z103" s="347"/>
    </row>
    <row r="104" spans="2:26" ht="15.6">
      <c r="B104" s="668"/>
      <c r="C104" s="666"/>
      <c r="D104" s="674"/>
      <c r="E104" s="666"/>
      <c r="F104" s="667"/>
      <c r="G104" s="683"/>
      <c r="V104" s="448"/>
      <c r="W104" s="448"/>
      <c r="X104" s="448"/>
      <c r="Y104" s="448"/>
      <c r="Z104" s="448"/>
    </row>
    <row r="105" spans="2:26" ht="15.6">
      <c r="V105" s="347"/>
      <c r="W105" s="347"/>
      <c r="X105" s="347"/>
      <c r="Y105" s="347"/>
      <c r="Z105" s="347"/>
    </row>
    <row r="106" spans="2:26" ht="15.6">
      <c r="V106" s="347"/>
      <c r="W106" s="347"/>
      <c r="X106" s="347"/>
      <c r="Y106" s="347"/>
      <c r="Z106" s="347"/>
    </row>
    <row r="107" spans="2:26" ht="15.6">
      <c r="V107" s="347"/>
      <c r="W107" s="347"/>
      <c r="X107" s="347"/>
      <c r="Y107" s="347"/>
      <c r="Z107" s="347"/>
    </row>
    <row r="108" spans="2:26" ht="15.6">
      <c r="V108" s="347"/>
      <c r="W108" s="347"/>
      <c r="X108" s="347"/>
      <c r="Y108" s="347"/>
      <c r="Z108" s="347"/>
    </row>
    <row r="109" spans="2:26" ht="15.6">
      <c r="V109" s="347"/>
      <c r="W109" s="347"/>
      <c r="X109" s="347"/>
      <c r="Y109" s="347"/>
      <c r="Z109" s="347"/>
    </row>
    <row r="110" spans="2:26" ht="15.6">
      <c r="V110" s="347"/>
      <c r="W110" s="347"/>
      <c r="X110" s="347"/>
      <c r="Y110" s="347"/>
      <c r="Z110" s="347"/>
    </row>
    <row r="111" spans="2:26" ht="15.6">
      <c r="V111" s="347"/>
      <c r="W111" s="347"/>
      <c r="X111" s="347"/>
      <c r="Y111" s="347"/>
      <c r="Z111" s="347"/>
    </row>
    <row r="112" spans="2:26" ht="15.6">
      <c r="V112" s="347"/>
      <c r="W112" s="347"/>
      <c r="X112" s="347"/>
      <c r="Y112" s="347"/>
      <c r="Z112" s="347"/>
    </row>
    <row r="113" spans="22:26" ht="15.6">
      <c r="V113" s="347"/>
      <c r="W113" s="347"/>
      <c r="X113" s="347"/>
      <c r="Y113" s="347"/>
      <c r="Z113" s="347"/>
    </row>
    <row r="114" spans="22:26" ht="15.6">
      <c r="V114" s="347"/>
      <c r="W114" s="347"/>
      <c r="X114" s="347"/>
      <c r="Y114" s="347"/>
      <c r="Z114" s="347"/>
    </row>
    <row r="115" spans="22:26" ht="15.6">
      <c r="V115" s="347"/>
      <c r="W115" s="347"/>
      <c r="X115" s="347"/>
      <c r="Y115" s="347"/>
      <c r="Z115" s="347"/>
    </row>
    <row r="116" spans="22:26" ht="15.6">
      <c r="V116" s="347"/>
      <c r="W116" s="347"/>
      <c r="X116" s="347"/>
      <c r="Y116" s="347"/>
      <c r="Z116" s="347"/>
    </row>
    <row r="117" spans="22:26" ht="15.6">
      <c r="V117" s="347"/>
      <c r="W117" s="347"/>
      <c r="X117" s="347"/>
      <c r="Y117" s="347"/>
      <c r="Z117" s="347"/>
    </row>
    <row r="118" spans="22:26" ht="15.6">
      <c r="V118" s="347"/>
      <c r="W118" s="347"/>
      <c r="X118" s="347"/>
      <c r="Y118" s="347"/>
      <c r="Z118" s="347"/>
    </row>
    <row r="119" spans="22:26" ht="15.6">
      <c r="X119"/>
      <c r="Y119"/>
    </row>
    <row r="120" spans="22:26" ht="15.6">
      <c r="X120"/>
      <c r="Y120"/>
    </row>
    <row r="121" spans="22:26" ht="15.6">
      <c r="X121"/>
      <c r="Y121"/>
    </row>
    <row r="122" spans="22:26" ht="15.6">
      <c r="X122"/>
      <c r="Y122"/>
    </row>
    <row r="123" spans="22:26" ht="15.6">
      <c r="X123"/>
      <c r="Y123"/>
    </row>
    <row r="124" spans="22:26" ht="15.6">
      <c r="X124"/>
      <c r="Y124"/>
    </row>
    <row r="125" spans="22:26" ht="15.6">
      <c r="X125"/>
      <c r="Y125"/>
    </row>
    <row r="126" spans="22:26" ht="15.6">
      <c r="X126"/>
      <c r="Y126"/>
    </row>
    <row r="127" spans="22:26" ht="15.6">
      <c r="X127"/>
      <c r="Y127"/>
    </row>
    <row r="128" spans="22:26" ht="15.6">
      <c r="X128"/>
      <c r="Y128"/>
    </row>
    <row r="129" spans="24:25" ht="15.6">
      <c r="X129"/>
      <c r="Y129"/>
    </row>
    <row r="130" spans="24:25" ht="15.6">
      <c r="X130"/>
      <c r="Y130"/>
    </row>
    <row r="131" spans="24:25" ht="15.6">
      <c r="X131"/>
      <c r="Y131"/>
    </row>
    <row r="132" spans="24:25" ht="15.6">
      <c r="X132"/>
      <c r="Y132"/>
    </row>
    <row r="133" spans="24:25" ht="15.6">
      <c r="X133"/>
      <c r="Y133"/>
    </row>
    <row r="134" spans="24:25" ht="15.6">
      <c r="X134"/>
      <c r="Y134"/>
    </row>
    <row r="135" spans="24:25" ht="15.6">
      <c r="X135"/>
      <c r="Y135"/>
    </row>
    <row r="136" spans="24:25" ht="15.6">
      <c r="X136"/>
      <c r="Y136"/>
    </row>
    <row r="137" spans="24:25" ht="15.6">
      <c r="X137"/>
      <c r="Y137"/>
    </row>
    <row r="138" spans="24:25" ht="15.6">
      <c r="X138"/>
      <c r="Y138"/>
    </row>
    <row r="139" spans="24:25" ht="15.6">
      <c r="X139"/>
      <c r="Y139"/>
    </row>
    <row r="140" spans="24:25" ht="15.6">
      <c r="X140"/>
      <c r="Y140"/>
    </row>
    <row r="141" spans="24:25" ht="15.6">
      <c r="X141"/>
      <c r="Y141"/>
    </row>
    <row r="142" spans="24:25" ht="15.6">
      <c r="X142"/>
      <c r="Y142"/>
    </row>
    <row r="143" spans="24:25" ht="15.6">
      <c r="X143"/>
      <c r="Y143"/>
    </row>
    <row r="144" spans="24:25" ht="15.6">
      <c r="X144"/>
      <c r="Y144"/>
    </row>
    <row r="145" spans="24:25" ht="15.6">
      <c r="X145"/>
      <c r="Y145"/>
    </row>
    <row r="146" spans="24:25" ht="15.6">
      <c r="X146"/>
      <c r="Y146"/>
    </row>
    <row r="147" spans="24:25" ht="15.6">
      <c r="X147"/>
      <c r="Y147"/>
    </row>
    <row r="148" spans="24:25" ht="15.6">
      <c r="X148"/>
      <c r="Y148"/>
    </row>
    <row r="149" spans="24:25" ht="15.6">
      <c r="X149"/>
      <c r="Y149"/>
    </row>
    <row r="150" spans="24:25" ht="15.6">
      <c r="X150"/>
      <c r="Y150"/>
    </row>
    <row r="151" spans="24:25" ht="15.6">
      <c r="X151"/>
      <c r="Y151"/>
    </row>
    <row r="152" spans="24:25" ht="15.6">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3"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AA25" sqref="AA25"/>
    </sheetView>
  </sheetViews>
  <sheetFormatPr defaultColWidth="9" defaultRowHeight="15.6"/>
  <cols>
    <col min="1" max="1" width="31.796875" style="57" bestFit="1" customWidth="1"/>
    <col min="2" max="2" width="14.09765625" style="57" bestFit="1" customWidth="1"/>
    <col min="3" max="3" width="10.3984375" style="57" bestFit="1" customWidth="1"/>
    <col min="4" max="4" width="65.69921875" style="57" hidden="1" customWidth="1"/>
    <col min="5" max="5" width="73.796875" style="57" hidden="1" customWidth="1"/>
    <col min="6" max="6" width="86" style="57" hidden="1" customWidth="1"/>
    <col min="7" max="7" width="11" style="57" customWidth="1"/>
    <col min="8" max="16384" width="9" style="57"/>
  </cols>
  <sheetData>
    <row r="27" spans="1:7" hidden="1">
      <c r="A27" s="920" t="s">
        <v>20</v>
      </c>
      <c r="B27" s="921" t="s">
        <v>1865</v>
      </c>
    </row>
    <row r="28" spans="1:7" hidden="1"/>
    <row r="29" spans="1:7" s="84" customFormat="1" ht="31.2" hidden="1">
      <c r="A29" s="963" t="s">
        <v>21</v>
      </c>
      <c r="B29" s="963" t="s">
        <v>22</v>
      </c>
      <c r="C29" s="930" t="s">
        <v>1918</v>
      </c>
      <c r="D29" s="921" t="s">
        <v>2645</v>
      </c>
      <c r="E29" s="921" t="s">
        <v>2644</v>
      </c>
      <c r="F29" s="921" t="s">
        <v>2643</v>
      </c>
      <c r="G29"/>
    </row>
    <row r="30" spans="1:7" hidden="1">
      <c r="A30" s="921" t="s">
        <v>293</v>
      </c>
      <c r="B30" s="921" t="s">
        <v>356</v>
      </c>
      <c r="C30" s="923">
        <v>2151</v>
      </c>
      <c r="D30" s="923">
        <v>2151</v>
      </c>
      <c r="E30" s="923">
        <v>2151</v>
      </c>
      <c r="F30" s="923">
        <v>2151</v>
      </c>
      <c r="G30"/>
    </row>
    <row r="31" spans="1:7" hidden="1">
      <c r="A31" s="921"/>
      <c r="B31" s="921" t="s">
        <v>398</v>
      </c>
      <c r="C31" s="923">
        <v>5840</v>
      </c>
      <c r="D31" s="923">
        <v>0</v>
      </c>
      <c r="E31" s="923">
        <v>5840</v>
      </c>
      <c r="F31" s="923">
        <v>3000.0000000000005</v>
      </c>
      <c r="G31"/>
    </row>
    <row r="32" spans="1:7" hidden="1">
      <c r="A32" s="921"/>
      <c r="B32" s="921" t="s">
        <v>401</v>
      </c>
      <c r="C32" s="923">
        <v>49319</v>
      </c>
      <c r="D32" s="923">
        <v>52303</v>
      </c>
      <c r="E32" s="923">
        <v>38074</v>
      </c>
      <c r="F32" s="923">
        <v>49319</v>
      </c>
      <c r="G32"/>
    </row>
    <row r="33" spans="1:7" hidden="1">
      <c r="A33" s="921"/>
      <c r="B33" s="921" t="s">
        <v>294</v>
      </c>
      <c r="C33" s="923">
        <v>178023</v>
      </c>
      <c r="D33" s="923">
        <v>116109.77402674592</v>
      </c>
      <c r="E33" s="923">
        <v>154348</v>
      </c>
      <c r="F33" s="923">
        <v>178023</v>
      </c>
      <c r="G33"/>
    </row>
    <row r="34" spans="1:7" hidden="1">
      <c r="A34" s="921" t="s">
        <v>3002</v>
      </c>
      <c r="B34" s="921"/>
      <c r="C34" s="923">
        <v>235333</v>
      </c>
      <c r="D34" s="923">
        <v>170563.77402674593</v>
      </c>
      <c r="E34" s="923">
        <v>200413</v>
      </c>
      <c r="F34" s="923">
        <v>232493</v>
      </c>
      <c r="G34"/>
    </row>
    <row r="35" spans="1:7" hidden="1">
      <c r="A35" s="921" t="s">
        <v>1621</v>
      </c>
      <c r="B35" s="921"/>
      <c r="C35" s="923">
        <v>235333</v>
      </c>
      <c r="D35" s="923">
        <v>170563.77402674593</v>
      </c>
      <c r="E35" s="923">
        <v>200413</v>
      </c>
      <c r="F35" s="923">
        <v>232493</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6"/>
  <cols>
    <col min="1" max="1" width="17.19921875" style="643" customWidth="1"/>
    <col min="2" max="2" width="81.796875" style="643" customWidth="1"/>
    <col min="3" max="16384" width="9" style="643"/>
  </cols>
  <sheetData>
    <row r="2" spans="1:2" ht="18">
      <c r="A2" s="1039" t="s">
        <v>2994</v>
      </c>
      <c r="B2" s="1039"/>
    </row>
    <row r="3" spans="1:2">
      <c r="A3" s="649" t="s">
        <v>21</v>
      </c>
      <c r="B3" s="648" t="s">
        <v>2935</v>
      </c>
    </row>
    <row r="4" spans="1:2">
      <c r="A4" s="650" t="s">
        <v>293</v>
      </c>
      <c r="B4" s="644" t="s">
        <v>2957</v>
      </c>
    </row>
    <row r="5" spans="1:2" ht="31.2">
      <c r="A5" s="651"/>
      <c r="B5" s="644" t="s">
        <v>2993</v>
      </c>
    </row>
    <row r="6" spans="1:2">
      <c r="A6" s="651"/>
      <c r="B6" s="644" t="s">
        <v>61</v>
      </c>
    </row>
    <row r="7" spans="1:2">
      <c r="A7" s="642" t="s">
        <v>2936</v>
      </c>
      <c r="B7" s="642" t="s">
        <v>2937</v>
      </c>
    </row>
    <row r="8" spans="1:2" ht="46.8">
      <c r="A8" s="645" t="s">
        <v>293</v>
      </c>
      <c r="B8" s="646" t="s">
        <v>2995</v>
      </c>
    </row>
    <row r="9" spans="1:2" ht="31.2">
      <c r="A9" s="690"/>
      <c r="B9" s="646" t="s">
        <v>2996</v>
      </c>
    </row>
    <row r="10" spans="1:2">
      <c r="A10" s="647" t="s">
        <v>2936</v>
      </c>
      <c r="B10" s="647" t="s">
        <v>2938</v>
      </c>
    </row>
    <row r="11" spans="1:2">
      <c r="A11" s="652" t="s">
        <v>293</v>
      </c>
      <c r="B11" s="653" t="s">
        <v>2958</v>
      </c>
    </row>
    <row r="12" spans="1:2" ht="31.2">
      <c r="A12" s="654"/>
      <c r="B12" s="653" t="s">
        <v>2997</v>
      </c>
    </row>
    <row r="13" spans="1:2" ht="46.8">
      <c r="A13" s="654"/>
      <c r="B13" s="653" t="s">
        <v>2998</v>
      </c>
    </row>
  </sheetData>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1" zoomScale="70" zoomScaleNormal="70" workbookViewId="0">
      <selection activeCell="I27" sqref="I27"/>
    </sheetView>
  </sheetViews>
  <sheetFormatPr defaultColWidth="20.59765625" defaultRowHeight="15.6"/>
  <cols>
    <col min="1" max="1" width="28.8984375" style="57" hidden="1" customWidth="1"/>
    <col min="2" max="2" width="14.796875" style="57" hidden="1" customWidth="1"/>
    <col min="3" max="3" width="58.19921875" style="57" hidden="1" customWidth="1"/>
    <col min="4" max="4" width="46" style="57" hidden="1" customWidth="1"/>
    <col min="5" max="5" width="73.3984375" style="57" hidden="1" customWidth="1"/>
    <col min="6" max="6" width="20.59765625" style="57" hidden="1" customWidth="1"/>
    <col min="7" max="16384" width="20.59765625" style="57"/>
  </cols>
  <sheetData>
    <row r="1" spans="1:20" ht="26.25" customHeight="1">
      <c r="A1" s="1040" t="s">
        <v>3186</v>
      </c>
      <c r="B1" s="1040"/>
      <c r="C1" s="1040"/>
      <c r="D1" s="1040"/>
      <c r="E1" s="1040"/>
      <c r="F1" s="1040"/>
      <c r="G1" s="1040"/>
      <c r="H1" s="1040"/>
      <c r="I1" s="1040"/>
      <c r="J1" s="1040"/>
      <c r="K1" s="1040"/>
      <c r="L1" s="1040"/>
      <c r="M1" s="1040"/>
      <c r="N1" s="1040"/>
      <c r="O1" s="1040"/>
      <c r="P1" s="1040"/>
      <c r="Q1" s="1040"/>
      <c r="R1" s="1040"/>
      <c r="S1" s="1040"/>
      <c r="T1" s="1040"/>
    </row>
    <row r="33" spans="1:27">
      <c r="A33"/>
      <c r="B33"/>
    </row>
    <row r="34" spans="1:27">
      <c r="A34" s="920" t="s">
        <v>20</v>
      </c>
      <c r="B34" s="921" t="s">
        <v>3145</v>
      </c>
    </row>
    <row r="35" spans="1:27">
      <c r="A35" s="963" t="s">
        <v>22</v>
      </c>
      <c r="B35" s="921" t="s">
        <v>1865</v>
      </c>
    </row>
    <row r="36" spans="1:27">
      <c r="A36" s="963" t="s">
        <v>21</v>
      </c>
      <c r="B36" s="921" t="s">
        <v>1865</v>
      </c>
    </row>
    <row r="37" spans="1:27">
      <c r="C37" s="177"/>
      <c r="D37" s="177"/>
      <c r="E37" s="177"/>
    </row>
    <row r="38" spans="1:27" s="84" customFormat="1" ht="31.2">
      <c r="A38" s="920" t="s">
        <v>23</v>
      </c>
      <c r="B38" s="930" t="s">
        <v>1918</v>
      </c>
      <c r="C38" s="921" t="s">
        <v>2681</v>
      </c>
      <c r="D38" s="921" t="s">
        <v>2682</v>
      </c>
      <c r="E38" s="921" t="s">
        <v>2683</v>
      </c>
      <c r="F38"/>
      <c r="G38"/>
      <c r="H38"/>
      <c r="I38"/>
      <c r="J38"/>
      <c r="K38"/>
      <c r="L38"/>
      <c r="M38"/>
      <c r="N38"/>
      <c r="O38"/>
      <c r="P38"/>
      <c r="Q38"/>
      <c r="R38"/>
      <c r="S38"/>
      <c r="T38"/>
      <c r="U38"/>
      <c r="V38"/>
      <c r="W38"/>
      <c r="X38"/>
      <c r="Y38"/>
      <c r="Z38"/>
      <c r="AA38"/>
    </row>
    <row r="39" spans="1:27">
      <c r="A39" s="921" t="s">
        <v>411</v>
      </c>
      <c r="B39" s="923">
        <v>5133</v>
      </c>
      <c r="C39" s="923">
        <v>5133</v>
      </c>
      <c r="D39" s="923">
        <v>4516</v>
      </c>
      <c r="E39" s="923">
        <v>5133</v>
      </c>
      <c r="F39"/>
      <c r="G39"/>
      <c r="H39"/>
      <c r="I39"/>
      <c r="J39"/>
      <c r="K39"/>
      <c r="L39"/>
      <c r="M39"/>
      <c r="N39"/>
      <c r="O39"/>
      <c r="P39"/>
      <c r="Q39"/>
      <c r="R39"/>
      <c r="S39"/>
      <c r="T39"/>
      <c r="U39"/>
      <c r="V39"/>
      <c r="W39"/>
      <c r="X39"/>
      <c r="Y39"/>
      <c r="Z39"/>
      <c r="AA39"/>
    </row>
    <row r="40" spans="1:27">
      <c r="A40" s="921" t="s">
        <v>413</v>
      </c>
      <c r="B40" s="923">
        <v>2489</v>
      </c>
      <c r="C40" s="923">
        <v>2489</v>
      </c>
      <c r="D40" s="923">
        <v>2300</v>
      </c>
      <c r="E40" s="923">
        <v>2489</v>
      </c>
      <c r="F40"/>
      <c r="G40"/>
      <c r="H40"/>
      <c r="I40"/>
      <c r="J40"/>
      <c r="K40"/>
      <c r="L40"/>
      <c r="M40"/>
      <c r="N40"/>
      <c r="O40"/>
      <c r="P40"/>
      <c r="Q40"/>
      <c r="R40"/>
      <c r="S40"/>
      <c r="T40"/>
      <c r="U40"/>
      <c r="V40"/>
      <c r="W40"/>
      <c r="X40"/>
      <c r="Y40"/>
      <c r="Z40"/>
      <c r="AA40"/>
    </row>
    <row r="41" spans="1:27">
      <c r="A41" s="921" t="s">
        <v>424</v>
      </c>
      <c r="B41" s="923">
        <v>5101</v>
      </c>
      <c r="C41" s="923">
        <v>5101</v>
      </c>
      <c r="D41" s="923">
        <v>4500</v>
      </c>
      <c r="E41" s="923">
        <v>5101</v>
      </c>
      <c r="F41"/>
      <c r="G41"/>
      <c r="H41"/>
      <c r="I41"/>
      <c r="J41"/>
      <c r="K41"/>
      <c r="L41"/>
      <c r="M41"/>
      <c r="N41"/>
      <c r="O41"/>
      <c r="P41"/>
      <c r="Q41"/>
      <c r="R41"/>
      <c r="S41"/>
      <c r="T41"/>
      <c r="U41"/>
      <c r="V41"/>
      <c r="W41"/>
      <c r="X41"/>
      <c r="Y41"/>
      <c r="Z41"/>
      <c r="AA41"/>
    </row>
    <row r="42" spans="1:27">
      <c r="A42" s="921" t="s">
        <v>426</v>
      </c>
      <c r="B42" s="923">
        <v>8728</v>
      </c>
      <c r="C42" s="923">
        <v>8630.7340267459131</v>
      </c>
      <c r="D42" s="923">
        <v>4800</v>
      </c>
      <c r="E42" s="923">
        <v>8728</v>
      </c>
      <c r="F42"/>
      <c r="G42"/>
      <c r="H42"/>
      <c r="I42"/>
      <c r="J42"/>
      <c r="K42"/>
      <c r="L42"/>
      <c r="M42"/>
      <c r="N42"/>
      <c r="O42"/>
      <c r="P42"/>
      <c r="Q42"/>
      <c r="R42"/>
      <c r="S42"/>
      <c r="T42"/>
      <c r="U42"/>
      <c r="V42"/>
      <c r="W42"/>
      <c r="X42"/>
      <c r="Y42"/>
      <c r="Z42"/>
      <c r="AA42"/>
    </row>
    <row r="43" spans="1:27">
      <c r="A43" s="921" t="s">
        <v>423</v>
      </c>
      <c r="B43" s="923">
        <v>11715</v>
      </c>
      <c r="C43" s="923">
        <v>11715</v>
      </c>
      <c r="D43" s="923">
        <v>8920</v>
      </c>
      <c r="E43" s="923">
        <v>11715</v>
      </c>
      <c r="F43"/>
      <c r="G43"/>
      <c r="H43"/>
      <c r="I43"/>
      <c r="J43"/>
      <c r="K43"/>
      <c r="L43"/>
      <c r="M43"/>
      <c r="N43"/>
      <c r="O43"/>
      <c r="P43"/>
      <c r="Q43"/>
      <c r="R43"/>
      <c r="S43"/>
      <c r="T43"/>
      <c r="U43"/>
      <c r="V43"/>
      <c r="W43"/>
      <c r="X43"/>
      <c r="Y43"/>
      <c r="Z43"/>
      <c r="AA43"/>
    </row>
    <row r="44" spans="1:27">
      <c r="A44" s="921" t="s">
        <v>367</v>
      </c>
      <c r="B44" s="923">
        <v>1084</v>
      </c>
      <c r="C44" s="923">
        <v>1084</v>
      </c>
      <c r="D44" s="923">
        <v>1084</v>
      </c>
      <c r="E44" s="923">
        <v>1084</v>
      </c>
      <c r="F44"/>
      <c r="G44"/>
    </row>
    <row r="45" spans="1:27">
      <c r="A45" s="921" t="s">
        <v>409</v>
      </c>
      <c r="B45" s="923">
        <v>6680</v>
      </c>
      <c r="C45" s="923">
        <v>6680</v>
      </c>
      <c r="D45" s="923">
        <v>5074</v>
      </c>
      <c r="E45" s="923">
        <v>6680</v>
      </c>
      <c r="F45"/>
      <c r="G45"/>
    </row>
    <row r="46" spans="1:27">
      <c r="A46" s="921" t="s">
        <v>430</v>
      </c>
      <c r="B46" s="923">
        <v>3486</v>
      </c>
      <c r="C46" s="923">
        <v>3486</v>
      </c>
      <c r="D46" s="923">
        <v>2922</v>
      </c>
      <c r="E46" s="923">
        <v>3486</v>
      </c>
      <c r="F46"/>
      <c r="G46"/>
    </row>
    <row r="47" spans="1:27">
      <c r="A47" s="921" t="s">
        <v>405</v>
      </c>
      <c r="B47" s="923">
        <v>5024</v>
      </c>
      <c r="C47" s="923">
        <v>5024</v>
      </c>
      <c r="D47" s="923">
        <v>3687</v>
      </c>
      <c r="E47" s="923">
        <v>5024</v>
      </c>
      <c r="F47"/>
      <c r="G47"/>
    </row>
    <row r="48" spans="1:27">
      <c r="A48" s="921" t="s">
        <v>406</v>
      </c>
      <c r="B48" s="923">
        <v>5137</v>
      </c>
      <c r="C48" s="923">
        <v>5137</v>
      </c>
      <c r="D48" s="923">
        <v>4031</v>
      </c>
      <c r="E48" s="923">
        <v>5137</v>
      </c>
      <c r="F48"/>
      <c r="G48"/>
    </row>
    <row r="49" spans="1:7">
      <c r="A49" s="921" t="s">
        <v>440</v>
      </c>
      <c r="B49" s="923">
        <v>3095</v>
      </c>
      <c r="C49" s="923">
        <v>3095</v>
      </c>
      <c r="D49" s="923">
        <v>3095</v>
      </c>
      <c r="E49" s="923">
        <v>3095</v>
      </c>
      <c r="F49"/>
      <c r="G49"/>
    </row>
    <row r="50" spans="1:7">
      <c r="A50" s="921" t="s">
        <v>431</v>
      </c>
      <c r="B50" s="923">
        <v>13302</v>
      </c>
      <c r="C50" s="923">
        <v>13302</v>
      </c>
      <c r="D50" s="923">
        <v>12960</v>
      </c>
      <c r="E50" s="923">
        <v>13302</v>
      </c>
      <c r="F50"/>
      <c r="G50"/>
    </row>
    <row r="51" spans="1:7">
      <c r="A51" s="921" t="s">
        <v>429</v>
      </c>
      <c r="B51" s="923">
        <v>12495</v>
      </c>
      <c r="C51" s="923">
        <v>12495</v>
      </c>
      <c r="D51" s="923">
        <v>12495</v>
      </c>
      <c r="E51" s="923">
        <v>12495</v>
      </c>
      <c r="F51"/>
      <c r="G51"/>
    </row>
    <row r="52" spans="1:7">
      <c r="A52" s="921" t="s">
        <v>438</v>
      </c>
      <c r="B52" s="923">
        <v>11564</v>
      </c>
      <c r="C52" s="923">
        <v>11564</v>
      </c>
      <c r="D52" s="923">
        <v>9871</v>
      </c>
      <c r="E52" s="923">
        <v>11564</v>
      </c>
      <c r="F52"/>
      <c r="G52"/>
    </row>
    <row r="53" spans="1:7">
      <c r="A53" s="921" t="s">
        <v>404</v>
      </c>
      <c r="B53" s="923">
        <v>2861</v>
      </c>
      <c r="C53" s="923">
        <v>4693</v>
      </c>
      <c r="D53" s="923">
        <v>2861</v>
      </c>
      <c r="E53" s="923">
        <v>2861</v>
      </c>
      <c r="F53"/>
      <c r="G53"/>
    </row>
    <row r="54" spans="1:7">
      <c r="A54" s="921" t="s">
        <v>399</v>
      </c>
      <c r="B54" s="923">
        <v>2920</v>
      </c>
      <c r="C54" s="923">
        <v>0</v>
      </c>
      <c r="D54" s="923">
        <v>2920</v>
      </c>
      <c r="E54" s="923">
        <v>1500.0000000000002</v>
      </c>
      <c r="F54"/>
      <c r="G54"/>
    </row>
    <row r="55" spans="1:7">
      <c r="A55" s="921" t="s">
        <v>421</v>
      </c>
      <c r="B55" s="923">
        <v>6016</v>
      </c>
      <c r="C55" s="923">
        <v>6016</v>
      </c>
      <c r="D55" s="923">
        <v>4440</v>
      </c>
      <c r="E55" s="923">
        <v>6016</v>
      </c>
      <c r="F55"/>
      <c r="G55"/>
    </row>
    <row r="56" spans="1:7">
      <c r="A56" s="921" t="s">
        <v>425</v>
      </c>
      <c r="B56" s="923">
        <v>5950</v>
      </c>
      <c r="C56" s="923">
        <v>5950</v>
      </c>
      <c r="D56" s="923">
        <v>5578</v>
      </c>
      <c r="E56" s="923">
        <v>5950</v>
      </c>
      <c r="F56"/>
      <c r="G56"/>
    </row>
    <row r="57" spans="1:7">
      <c r="A57" s="921" t="s">
        <v>2272</v>
      </c>
      <c r="B57" s="923">
        <v>2262</v>
      </c>
      <c r="C57" s="923">
        <v>2262</v>
      </c>
      <c r="D57" s="923">
        <v>1820</v>
      </c>
      <c r="E57" s="923">
        <v>2262</v>
      </c>
      <c r="F57"/>
      <c r="G57"/>
    </row>
    <row r="58" spans="1:7">
      <c r="A58" s="921" t="s">
        <v>2271</v>
      </c>
      <c r="B58" s="923">
        <v>2248</v>
      </c>
      <c r="C58" s="923">
        <v>2203.04</v>
      </c>
      <c r="D58" s="923">
        <v>1989</v>
      </c>
      <c r="E58" s="923">
        <v>2248</v>
      </c>
      <c r="F58"/>
      <c r="G58"/>
    </row>
    <row r="59" spans="1:7">
      <c r="A59" s="921" t="s">
        <v>2273</v>
      </c>
      <c r="B59" s="923">
        <v>2698</v>
      </c>
      <c r="C59" s="923">
        <v>2698</v>
      </c>
      <c r="D59" s="923">
        <v>2698</v>
      </c>
      <c r="E59" s="923">
        <v>2698</v>
      </c>
      <c r="F59"/>
      <c r="G59"/>
    </row>
    <row r="60" spans="1:7">
      <c r="A60" s="921" t="s">
        <v>1621</v>
      </c>
      <c r="B60" s="923">
        <v>119988</v>
      </c>
      <c r="C60" s="923">
        <v>118757.77402674592</v>
      </c>
      <c r="D60" s="923">
        <v>102561</v>
      </c>
      <c r="E60" s="923">
        <v>118568</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68"/>
  <sheetViews>
    <sheetView showGridLines="0" zoomScale="70" zoomScaleNormal="70" workbookViewId="0">
      <selection activeCell="K16" sqref="K16"/>
    </sheetView>
  </sheetViews>
  <sheetFormatPr defaultColWidth="14" defaultRowHeight="15.6"/>
  <cols>
    <col min="9" max="9" width="22.59765625" customWidth="1"/>
    <col min="10" max="10" width="24.69921875" customWidth="1"/>
    <col min="11" max="11" width="42.5" customWidth="1"/>
    <col min="12" max="12" width="14" hidden="1" customWidth="1"/>
    <col min="13" max="13" width="17.19921875" hidden="1" customWidth="1"/>
    <col min="14" max="14" width="57" hidden="1" customWidth="1"/>
    <col min="15" max="15" width="45.296875" hidden="1" customWidth="1"/>
    <col min="16" max="16" width="71.69921875" hidden="1" customWidth="1"/>
    <col min="17" max="17" width="8.296875" bestFit="1" customWidth="1"/>
    <col min="18" max="18" width="11.69921875" bestFit="1" customWidth="1"/>
    <col min="19" max="20" width="14.69921875" bestFit="1" customWidth="1"/>
    <col min="21" max="21" width="18" bestFit="1" customWidth="1"/>
    <col min="22" max="23" width="14.69921875" bestFit="1" customWidth="1"/>
    <col min="24" max="24" width="18" bestFit="1" customWidth="1"/>
    <col min="25" max="26" width="9.19921875" bestFit="1" customWidth="1"/>
    <col min="27" max="27" width="12.3984375" bestFit="1" customWidth="1"/>
    <col min="28" max="29" width="15.8984375" bestFit="1" customWidth="1"/>
    <col min="30" max="30" width="19.19921875" bestFit="1" customWidth="1"/>
    <col min="31" max="32" width="14.69921875" bestFit="1" customWidth="1"/>
    <col min="33" max="33" width="18" bestFit="1" customWidth="1"/>
    <col min="36" max="36" width="17.3984375" bestFit="1" customWidth="1"/>
    <col min="37" max="38" width="15.19921875" bestFit="1" customWidth="1"/>
    <col min="39" max="39" width="18.59765625" bestFit="1" customWidth="1"/>
    <col min="40" max="41" width="15.19921875" bestFit="1" customWidth="1"/>
    <col min="42" max="42" width="18.59765625" bestFit="1" customWidth="1"/>
    <col min="43" max="44" width="15.5" bestFit="1" customWidth="1"/>
    <col min="45" max="45" width="18.796875" bestFit="1" customWidth="1"/>
    <col min="46" max="47" width="21.09765625" bestFit="1" customWidth="1"/>
    <col min="48" max="48" width="24.3984375" bestFit="1" customWidth="1"/>
    <col min="49" max="50" width="20.8984375" bestFit="1" customWidth="1"/>
    <col min="51" max="51" width="24.19921875" bestFit="1" customWidth="1"/>
    <col min="52" max="53" width="17.3984375" bestFit="1" customWidth="1"/>
    <col min="54" max="54" width="20.69921875" bestFit="1" customWidth="1"/>
    <col min="55" max="56" width="13.3984375" bestFit="1" customWidth="1"/>
    <col min="57" max="57" width="16.69921875" bestFit="1" customWidth="1"/>
    <col min="58" max="59" width="12.09765625" bestFit="1" customWidth="1"/>
    <col min="60" max="60" width="15.3984375" bestFit="1" customWidth="1"/>
    <col min="61" max="62" width="13.8984375" bestFit="1" customWidth="1"/>
    <col min="63" max="63" width="17.296875" bestFit="1" customWidth="1"/>
    <col min="64" max="65" width="15.3984375" bestFit="1" customWidth="1"/>
    <col min="66" max="66" width="18.69921875" bestFit="1" customWidth="1"/>
    <col min="67" max="68" width="29.59765625" bestFit="1" customWidth="1"/>
    <col min="69" max="69" width="32.8984375" bestFit="1" customWidth="1"/>
    <col min="70" max="71" width="21" bestFit="1" customWidth="1"/>
    <col min="72" max="72" width="24.296875" bestFit="1" customWidth="1"/>
    <col min="73" max="74" width="33.19921875" bestFit="1" customWidth="1"/>
    <col min="75" max="75" width="36.5" bestFit="1" customWidth="1"/>
    <col min="76" max="76" width="11.69921875" bestFit="1" customWidth="1"/>
  </cols>
  <sheetData>
    <row r="2" spans="12:16">
      <c r="L2" s="453" t="s">
        <v>34</v>
      </c>
      <c r="M2" s="448" t="s">
        <v>34</v>
      </c>
    </row>
    <row r="3" spans="12:16">
      <c r="N3" s="347"/>
      <c r="O3" s="347"/>
      <c r="P3" s="347"/>
    </row>
    <row r="4" spans="12:16">
      <c r="L4" s="453" t="s">
        <v>23</v>
      </c>
      <c r="M4" s="453" t="s">
        <v>20</v>
      </c>
      <c r="N4" s="448" t="s">
        <v>2681</v>
      </c>
      <c r="O4" s="448" t="s">
        <v>2682</v>
      </c>
      <c r="P4" s="448" t="s">
        <v>2683</v>
      </c>
    </row>
    <row r="5" spans="12:16">
      <c r="L5" s="448" t="s">
        <v>411</v>
      </c>
      <c r="M5" s="448" t="s">
        <v>3144</v>
      </c>
      <c r="N5" s="447">
        <v>5133</v>
      </c>
      <c r="O5" s="447">
        <v>3960</v>
      </c>
      <c r="P5" s="447">
        <v>5133</v>
      </c>
    </row>
    <row r="6" spans="12:16">
      <c r="M6" s="448" t="s">
        <v>3145</v>
      </c>
      <c r="N6" s="447">
        <v>5133</v>
      </c>
      <c r="O6" s="447">
        <v>4516</v>
      </c>
      <c r="P6" s="447">
        <v>5133</v>
      </c>
    </row>
    <row r="7" spans="12:16">
      <c r="L7" s="448" t="s">
        <v>3007</v>
      </c>
      <c r="M7" s="448"/>
      <c r="N7" s="447">
        <v>10266</v>
      </c>
      <c r="O7" s="447">
        <v>8476</v>
      </c>
      <c r="P7" s="447">
        <v>10266</v>
      </c>
    </row>
    <row r="8" spans="12:16">
      <c r="L8" s="448" t="s">
        <v>413</v>
      </c>
      <c r="M8" s="448" t="s">
        <v>3144</v>
      </c>
      <c r="N8" s="447">
        <v>2139</v>
      </c>
      <c r="O8" s="447">
        <v>2139</v>
      </c>
      <c r="P8" s="447">
        <v>2139</v>
      </c>
    </row>
    <row r="9" spans="12:16">
      <c r="M9" s="448" t="s">
        <v>3145</v>
      </c>
      <c r="N9" s="447">
        <v>2489</v>
      </c>
      <c r="O9" s="447">
        <v>2300</v>
      </c>
      <c r="P9" s="447">
        <v>2489</v>
      </c>
    </row>
    <row r="10" spans="12:16">
      <c r="L10" s="448" t="s">
        <v>3008</v>
      </c>
      <c r="M10" s="448"/>
      <c r="N10" s="447">
        <v>4628</v>
      </c>
      <c r="O10" s="447">
        <v>4439</v>
      </c>
      <c r="P10" s="447">
        <v>4628</v>
      </c>
    </row>
    <row r="11" spans="12:16">
      <c r="L11" s="448" t="s">
        <v>424</v>
      </c>
      <c r="M11" s="448" t="s">
        <v>3144</v>
      </c>
      <c r="N11" s="447">
        <v>4875</v>
      </c>
      <c r="O11" s="447">
        <v>4875</v>
      </c>
      <c r="P11" s="447">
        <v>4875</v>
      </c>
    </row>
    <row r="12" spans="12:16">
      <c r="M12" s="448" t="s">
        <v>3145</v>
      </c>
      <c r="N12" s="447">
        <v>5101</v>
      </c>
      <c r="O12" s="447">
        <v>4500</v>
      </c>
      <c r="P12" s="447">
        <v>5101</v>
      </c>
    </row>
    <row r="13" spans="12:16">
      <c r="L13" s="448" t="s">
        <v>3009</v>
      </c>
      <c r="M13" s="448"/>
      <c r="N13" s="447">
        <v>9976</v>
      </c>
      <c r="O13" s="447">
        <v>9375</v>
      </c>
      <c r="P13" s="447">
        <v>9976</v>
      </c>
    </row>
    <row r="14" spans="12:16">
      <c r="L14" s="448" t="s">
        <v>426</v>
      </c>
      <c r="M14" s="448" t="s">
        <v>3144</v>
      </c>
      <c r="N14" s="447">
        <v>7033</v>
      </c>
      <c r="O14" s="447">
        <v>5540</v>
      </c>
      <c r="P14" s="447">
        <v>7033</v>
      </c>
    </row>
    <row r="15" spans="12:16">
      <c r="M15" s="448" t="s">
        <v>3145</v>
      </c>
      <c r="N15" s="447">
        <v>8630.7340267459131</v>
      </c>
      <c r="O15" s="447">
        <v>4800</v>
      </c>
      <c r="P15" s="447">
        <v>8728</v>
      </c>
    </row>
    <row r="16" spans="12:16">
      <c r="L16" s="448" t="s">
        <v>3010</v>
      </c>
      <c r="M16" s="448"/>
      <c r="N16" s="447">
        <v>15663.734026745913</v>
      </c>
      <c r="O16" s="447">
        <v>10340</v>
      </c>
      <c r="P16" s="447">
        <v>15761</v>
      </c>
    </row>
    <row r="17" spans="12:16">
      <c r="L17" s="448" t="s">
        <v>423</v>
      </c>
      <c r="M17" s="448" t="s">
        <v>3144</v>
      </c>
      <c r="N17" s="447">
        <v>11056</v>
      </c>
      <c r="O17" s="447">
        <v>9068</v>
      </c>
      <c r="P17" s="447">
        <v>11056</v>
      </c>
    </row>
    <row r="18" spans="12:16">
      <c r="M18" s="448" t="s">
        <v>3145</v>
      </c>
      <c r="N18" s="447">
        <v>11715</v>
      </c>
      <c r="O18" s="447">
        <v>8920</v>
      </c>
      <c r="P18" s="447">
        <v>11715</v>
      </c>
    </row>
    <row r="19" spans="12:16">
      <c r="L19" s="448" t="s">
        <v>3011</v>
      </c>
      <c r="M19" s="448"/>
      <c r="N19" s="447">
        <v>22771</v>
      </c>
      <c r="O19" s="447">
        <v>17988</v>
      </c>
      <c r="P19" s="447">
        <v>22771</v>
      </c>
    </row>
    <row r="20" spans="12:16">
      <c r="L20" s="448" t="s">
        <v>367</v>
      </c>
      <c r="M20" s="448" t="s">
        <v>3144</v>
      </c>
      <c r="N20" s="447">
        <v>1067</v>
      </c>
      <c r="O20" s="447">
        <v>1067</v>
      </c>
      <c r="P20" s="447">
        <v>1067</v>
      </c>
    </row>
    <row r="21" spans="12:16">
      <c r="M21" s="448" t="s">
        <v>3145</v>
      </c>
      <c r="N21" s="447">
        <v>1084</v>
      </c>
      <c r="O21" s="447">
        <v>1084</v>
      </c>
      <c r="P21" s="447">
        <v>1084</v>
      </c>
    </row>
    <row r="22" spans="12:16">
      <c r="L22" s="448" t="s">
        <v>3012</v>
      </c>
      <c r="M22" s="448"/>
      <c r="N22" s="447">
        <v>2151</v>
      </c>
      <c r="O22" s="447">
        <v>2151</v>
      </c>
      <c r="P22" s="447">
        <v>2151</v>
      </c>
    </row>
    <row r="23" spans="12:16">
      <c r="L23" s="448" t="s">
        <v>409</v>
      </c>
      <c r="M23" s="448" t="s">
        <v>3144</v>
      </c>
      <c r="N23" s="447">
        <v>6674</v>
      </c>
      <c r="O23" s="447">
        <v>4669</v>
      </c>
      <c r="P23" s="447">
        <v>6674</v>
      </c>
    </row>
    <row r="24" spans="12:16">
      <c r="M24" s="448" t="s">
        <v>3145</v>
      </c>
      <c r="N24" s="447">
        <v>6680</v>
      </c>
      <c r="O24" s="447">
        <v>5074</v>
      </c>
      <c r="P24" s="447">
        <v>6680</v>
      </c>
    </row>
    <row r="25" spans="12:16">
      <c r="L25" s="448" t="s">
        <v>3013</v>
      </c>
      <c r="M25" s="448"/>
      <c r="N25" s="447">
        <v>13354</v>
      </c>
      <c r="O25" s="447">
        <v>9743</v>
      </c>
      <c r="P25" s="447">
        <v>13354</v>
      </c>
    </row>
    <row r="26" spans="12:16">
      <c r="L26" s="448" t="s">
        <v>430</v>
      </c>
      <c r="M26" s="448" t="s">
        <v>3144</v>
      </c>
      <c r="N26" s="447">
        <v>0</v>
      </c>
      <c r="O26" s="447">
        <v>3486</v>
      </c>
      <c r="P26" s="447">
        <v>3486</v>
      </c>
    </row>
    <row r="27" spans="12:16">
      <c r="M27" s="448" t="s">
        <v>3145</v>
      </c>
      <c r="N27" s="447">
        <v>3486</v>
      </c>
      <c r="O27" s="447">
        <v>2922</v>
      </c>
      <c r="P27" s="447">
        <v>3486</v>
      </c>
    </row>
    <row r="28" spans="12:16">
      <c r="L28" s="448" t="s">
        <v>3014</v>
      </c>
      <c r="M28" s="448"/>
      <c r="N28" s="447">
        <v>3486</v>
      </c>
      <c r="O28" s="447">
        <v>6408</v>
      </c>
      <c r="P28" s="447">
        <v>6972</v>
      </c>
    </row>
    <row r="29" spans="12:16">
      <c r="L29" s="448" t="s">
        <v>405</v>
      </c>
      <c r="M29" s="448" t="s">
        <v>3144</v>
      </c>
      <c r="N29" s="447">
        <v>5024</v>
      </c>
      <c r="O29" s="447">
        <v>3040</v>
      </c>
      <c r="P29" s="447">
        <v>5024</v>
      </c>
    </row>
    <row r="30" spans="12:16">
      <c r="M30" s="448" t="s">
        <v>3145</v>
      </c>
      <c r="N30" s="447">
        <v>5024</v>
      </c>
      <c r="O30" s="447">
        <v>3687</v>
      </c>
      <c r="P30" s="447">
        <v>5024</v>
      </c>
    </row>
    <row r="31" spans="12:16">
      <c r="L31" s="448" t="s">
        <v>3015</v>
      </c>
      <c r="M31" s="448"/>
      <c r="N31" s="447">
        <v>10048</v>
      </c>
      <c r="O31" s="447">
        <v>6727</v>
      </c>
      <c r="P31" s="447">
        <v>10048</v>
      </c>
    </row>
    <row r="32" spans="12:16">
      <c r="L32" s="448" t="s">
        <v>406</v>
      </c>
      <c r="M32" s="448" t="s">
        <v>3144</v>
      </c>
      <c r="N32" s="447">
        <v>5137</v>
      </c>
      <c r="O32" s="447">
        <v>3720</v>
      </c>
      <c r="P32" s="447">
        <v>5137</v>
      </c>
    </row>
    <row r="33" spans="12:16">
      <c r="M33" s="448" t="s">
        <v>3145</v>
      </c>
      <c r="N33" s="447">
        <v>5137</v>
      </c>
      <c r="O33" s="447">
        <v>4031</v>
      </c>
      <c r="P33" s="447">
        <v>5137</v>
      </c>
    </row>
    <row r="34" spans="12:16">
      <c r="L34" s="448" t="s">
        <v>3016</v>
      </c>
      <c r="M34" s="448"/>
      <c r="N34" s="447">
        <v>10274</v>
      </c>
      <c r="O34" s="447">
        <v>7751</v>
      </c>
      <c r="P34" s="447">
        <v>10274</v>
      </c>
    </row>
    <row r="35" spans="12:16">
      <c r="L35" s="448" t="s">
        <v>440</v>
      </c>
      <c r="M35" s="448" t="s">
        <v>3144</v>
      </c>
      <c r="N35" s="447">
        <v>0</v>
      </c>
      <c r="O35" s="447">
        <v>2819</v>
      </c>
      <c r="P35" s="447">
        <v>3095</v>
      </c>
    </row>
    <row r="36" spans="12:16">
      <c r="M36" s="448" t="s">
        <v>3145</v>
      </c>
      <c r="N36" s="447">
        <v>3095</v>
      </c>
      <c r="O36" s="447">
        <v>3095</v>
      </c>
      <c r="P36" s="447">
        <v>3095</v>
      </c>
    </row>
    <row r="37" spans="12:16">
      <c r="L37" s="448" t="s">
        <v>3017</v>
      </c>
      <c r="M37" s="448"/>
      <c r="N37" s="447">
        <v>3095</v>
      </c>
      <c r="O37" s="447">
        <v>5914</v>
      </c>
      <c r="P37" s="447">
        <v>6190</v>
      </c>
    </row>
    <row r="38" spans="12:16">
      <c r="L38" s="448" t="s">
        <v>431</v>
      </c>
      <c r="M38" s="448" t="s">
        <v>3144</v>
      </c>
      <c r="N38" s="447">
        <v>0</v>
      </c>
      <c r="O38" s="447">
        <v>11440</v>
      </c>
      <c r="P38" s="447">
        <v>13302</v>
      </c>
    </row>
    <row r="39" spans="12:16">
      <c r="M39" s="448" t="s">
        <v>3145</v>
      </c>
      <c r="N39" s="447">
        <v>13302</v>
      </c>
      <c r="O39" s="447">
        <v>12960</v>
      </c>
      <c r="P39" s="447">
        <v>13302</v>
      </c>
    </row>
    <row r="40" spans="12:16">
      <c r="L40" s="448" t="s">
        <v>3018</v>
      </c>
      <c r="M40" s="448"/>
      <c r="N40" s="447">
        <v>13302</v>
      </c>
      <c r="O40" s="447">
        <v>24400</v>
      </c>
      <c r="P40" s="447">
        <v>26604</v>
      </c>
    </row>
    <row r="41" spans="12:16">
      <c r="L41" s="448" t="s">
        <v>429</v>
      </c>
      <c r="M41" s="448" t="s">
        <v>3144</v>
      </c>
      <c r="N41" s="447">
        <v>0</v>
      </c>
      <c r="O41" s="447">
        <v>11478</v>
      </c>
      <c r="P41" s="447">
        <v>11478</v>
      </c>
    </row>
    <row r="42" spans="12:16">
      <c r="M42" s="448" t="s">
        <v>3145</v>
      </c>
      <c r="N42" s="447">
        <v>12495</v>
      </c>
      <c r="O42" s="447">
        <v>12495</v>
      </c>
      <c r="P42" s="447">
        <v>12495</v>
      </c>
    </row>
    <row r="43" spans="12:16">
      <c r="L43" s="448" t="s">
        <v>2893</v>
      </c>
      <c r="M43" s="448"/>
      <c r="N43" s="447">
        <v>12495</v>
      </c>
      <c r="O43" s="447">
        <v>23973</v>
      </c>
      <c r="P43" s="447">
        <v>23973</v>
      </c>
    </row>
    <row r="44" spans="12:16">
      <c r="L44" s="448" t="s">
        <v>438</v>
      </c>
      <c r="M44" s="448" t="s">
        <v>3144</v>
      </c>
      <c r="N44" s="447">
        <v>0</v>
      </c>
      <c r="O44" s="447">
        <v>8891</v>
      </c>
      <c r="P44" s="447">
        <v>11564</v>
      </c>
    </row>
    <row r="45" spans="12:16">
      <c r="M45" s="448" t="s">
        <v>3145</v>
      </c>
      <c r="N45" s="447">
        <v>11564</v>
      </c>
      <c r="O45" s="447">
        <v>9871</v>
      </c>
      <c r="P45" s="447">
        <v>11564</v>
      </c>
    </row>
    <row r="46" spans="12:16">
      <c r="L46" s="448" t="s">
        <v>3019</v>
      </c>
      <c r="M46" s="448"/>
      <c r="N46" s="447">
        <v>11564</v>
      </c>
      <c r="O46" s="447">
        <v>18762</v>
      </c>
      <c r="P46" s="447">
        <v>23128</v>
      </c>
    </row>
    <row r="47" spans="12:16">
      <c r="L47" s="448" t="s">
        <v>404</v>
      </c>
      <c r="M47" s="448" t="s">
        <v>3144</v>
      </c>
      <c r="N47" s="447">
        <v>3668</v>
      </c>
      <c r="O47" s="447">
        <v>2516</v>
      </c>
      <c r="P47" s="447">
        <v>2516</v>
      </c>
    </row>
    <row r="48" spans="12:16">
      <c r="M48" s="448" t="s">
        <v>3145</v>
      </c>
      <c r="N48" s="447">
        <v>4693</v>
      </c>
      <c r="O48" s="447">
        <v>2861</v>
      </c>
      <c r="P48" s="447">
        <v>2861</v>
      </c>
    </row>
    <row r="49" spans="12:16">
      <c r="L49" s="448" t="s">
        <v>3006</v>
      </c>
      <c r="M49" s="448"/>
      <c r="N49" s="447">
        <v>8361</v>
      </c>
      <c r="O49" s="447">
        <v>5377</v>
      </c>
      <c r="P49" s="447">
        <v>5377</v>
      </c>
    </row>
    <row r="50" spans="12:16">
      <c r="L50" s="448" t="s">
        <v>399</v>
      </c>
      <c r="M50" s="448" t="s">
        <v>3144</v>
      </c>
      <c r="N50" s="447">
        <v>0</v>
      </c>
      <c r="O50" s="447">
        <v>2920</v>
      </c>
      <c r="P50" s="447">
        <v>1500.0000000000002</v>
      </c>
    </row>
    <row r="51" spans="12:16">
      <c r="M51" s="448" t="s">
        <v>3145</v>
      </c>
      <c r="N51" s="447">
        <v>0</v>
      </c>
      <c r="O51" s="447">
        <v>2920</v>
      </c>
      <c r="P51" s="447">
        <v>1500.0000000000002</v>
      </c>
    </row>
    <row r="52" spans="12:16">
      <c r="L52" s="448" t="s">
        <v>3020</v>
      </c>
      <c r="M52" s="448"/>
      <c r="N52" s="447">
        <v>0</v>
      </c>
      <c r="O52" s="447">
        <v>5840</v>
      </c>
      <c r="P52" s="447">
        <v>3000.0000000000005</v>
      </c>
    </row>
    <row r="53" spans="12:16">
      <c r="L53" s="448" t="s">
        <v>421</v>
      </c>
      <c r="M53" s="448" t="s">
        <v>3144</v>
      </c>
      <c r="N53" s="447">
        <v>0</v>
      </c>
      <c r="O53" s="447">
        <v>4386</v>
      </c>
      <c r="P53" s="447">
        <v>6016</v>
      </c>
    </row>
    <row r="54" spans="12:16">
      <c r="M54" s="448" t="s">
        <v>3145</v>
      </c>
      <c r="N54" s="447">
        <v>6016</v>
      </c>
      <c r="O54" s="447">
        <v>4440</v>
      </c>
      <c r="P54" s="447">
        <v>6016</v>
      </c>
    </row>
    <row r="55" spans="12:16">
      <c r="L55" s="448" t="s">
        <v>3021</v>
      </c>
      <c r="M55" s="448"/>
      <c r="N55" s="447">
        <v>6016</v>
      </c>
      <c r="O55" s="447">
        <v>8826</v>
      </c>
      <c r="P55" s="447">
        <v>12032</v>
      </c>
    </row>
    <row r="56" spans="12:16">
      <c r="L56" s="448" t="s">
        <v>425</v>
      </c>
      <c r="M56" s="448" t="s">
        <v>3144</v>
      </c>
      <c r="N56" s="447">
        <v>0</v>
      </c>
      <c r="O56" s="447">
        <v>4958</v>
      </c>
      <c r="P56" s="447">
        <v>5950</v>
      </c>
    </row>
    <row r="57" spans="12:16">
      <c r="M57" s="448" t="s">
        <v>3145</v>
      </c>
      <c r="N57" s="447">
        <v>5950</v>
      </c>
      <c r="O57" s="447">
        <v>5578</v>
      </c>
      <c r="P57" s="447">
        <v>5950</v>
      </c>
    </row>
    <row r="58" spans="12:16">
      <c r="L58" s="448" t="s">
        <v>3022</v>
      </c>
      <c r="M58" s="448"/>
      <c r="N58" s="447">
        <v>5950</v>
      </c>
      <c r="O58" s="447">
        <v>10536</v>
      </c>
      <c r="P58" s="447">
        <v>11900</v>
      </c>
    </row>
    <row r="59" spans="12:16">
      <c r="L59" s="448" t="s">
        <v>2272</v>
      </c>
      <c r="M59" s="448" t="s">
        <v>3144</v>
      </c>
      <c r="N59" s="447">
        <v>0</v>
      </c>
      <c r="O59" s="447">
        <v>2186</v>
      </c>
      <c r="P59" s="447">
        <v>2186</v>
      </c>
    </row>
    <row r="60" spans="12:16">
      <c r="M60" s="448" t="s">
        <v>3145</v>
      </c>
      <c r="N60" s="447">
        <v>2262</v>
      </c>
      <c r="O60" s="447">
        <v>1820</v>
      </c>
      <c r="P60" s="447">
        <v>2262</v>
      </c>
    </row>
    <row r="61" spans="12:16">
      <c r="L61" s="448" t="s">
        <v>3023</v>
      </c>
      <c r="M61" s="448"/>
      <c r="N61" s="447">
        <v>2262</v>
      </c>
      <c r="O61" s="447">
        <v>4006</v>
      </c>
      <c r="P61" s="447">
        <v>4448</v>
      </c>
    </row>
    <row r="62" spans="12:16">
      <c r="L62" s="448" t="s">
        <v>2271</v>
      </c>
      <c r="M62" s="448" t="s">
        <v>3144</v>
      </c>
      <c r="N62" s="447">
        <v>0</v>
      </c>
      <c r="O62" s="447">
        <v>2248</v>
      </c>
      <c r="P62" s="447">
        <v>2248</v>
      </c>
    </row>
    <row r="63" spans="12:16">
      <c r="M63" s="448" t="s">
        <v>3145</v>
      </c>
      <c r="N63" s="447">
        <v>2203.04</v>
      </c>
      <c r="O63" s="447">
        <v>1989</v>
      </c>
      <c r="P63" s="447">
        <v>2248</v>
      </c>
    </row>
    <row r="64" spans="12:16">
      <c r="L64" s="448" t="s">
        <v>3024</v>
      </c>
      <c r="M64" s="448"/>
      <c r="N64" s="447">
        <v>2203.04</v>
      </c>
      <c r="O64" s="447">
        <v>4237</v>
      </c>
      <c r="P64" s="447">
        <v>4496</v>
      </c>
    </row>
    <row r="65" spans="12:16">
      <c r="L65" s="448" t="s">
        <v>2273</v>
      </c>
      <c r="M65" s="448" t="s">
        <v>3144</v>
      </c>
      <c r="N65" s="447">
        <v>0</v>
      </c>
      <c r="O65" s="447">
        <v>2446</v>
      </c>
      <c r="P65" s="447">
        <v>2446</v>
      </c>
    </row>
    <row r="66" spans="12:16">
      <c r="M66" s="448" t="s">
        <v>3145</v>
      </c>
      <c r="N66" s="447">
        <v>2698</v>
      </c>
      <c r="O66" s="447">
        <v>2698</v>
      </c>
      <c r="P66" s="447">
        <v>2698</v>
      </c>
    </row>
    <row r="67" spans="12:16">
      <c r="L67" s="448" t="s">
        <v>2894</v>
      </c>
      <c r="M67" s="448"/>
      <c r="N67" s="447">
        <v>2698</v>
      </c>
      <c r="O67" s="447">
        <v>5144</v>
      </c>
      <c r="P67" s="447">
        <v>5144</v>
      </c>
    </row>
    <row r="68" spans="12:16">
      <c r="L68" s="448" t="s">
        <v>1621</v>
      </c>
      <c r="N68" s="447">
        <v>170563.77402674593</v>
      </c>
      <c r="O68" s="447">
        <v>200413</v>
      </c>
      <c r="P68" s="447">
        <v>232493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B4" workbookViewId="0">
      <selection activeCell="A11" sqref="A11"/>
    </sheetView>
  </sheetViews>
  <sheetFormatPr defaultColWidth="9" defaultRowHeight="13.8"/>
  <cols>
    <col min="1" max="3" width="9" style="18"/>
    <col min="4" max="4" width="9" style="65"/>
    <col min="5" max="5" width="15.796875" style="64" customWidth="1"/>
    <col min="6" max="14" width="9" style="18"/>
    <col min="15" max="15" width="15.796875" style="18" customWidth="1"/>
    <col min="16" max="27" width="9" style="18"/>
    <col min="28" max="28" width="13" style="60" customWidth="1"/>
    <col min="29" max="29" width="16.69921875" style="60" customWidth="1"/>
    <col min="30" max="16384" width="9" style="18"/>
  </cols>
  <sheetData>
    <row r="1" spans="1:29" ht="15"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4.4"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39.19999999999999"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5" thickTop="1" thickBot="1">
      <c r="A4" s="41" t="s">
        <v>3144</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5" thickTop="1" thickBot="1">
      <c r="A5" s="41" t="s">
        <v>3145</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5" thickTop="1" thickBot="1">
      <c r="A6" s="41" t="s">
        <v>3146</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5" thickTop="1" thickBot="1">
      <c r="A7" s="41" t="s">
        <v>3147</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5"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4.4"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4.4"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4.4"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4.4"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4.4"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4.4"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4.4"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4.4"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4.4"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4.4"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4.4"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4.4"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4.4"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4.4"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4.4"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4.4"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4.4"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4.4"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4.4"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4.4"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4.4"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4.4"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4.4"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4.4"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2623</v>
      </c>
      <c r="AC32" s="60" t="s">
        <v>318</v>
      </c>
    </row>
    <row r="33" spans="2:29" ht="14.4"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2623</v>
      </c>
      <c r="AC33" s="60" t="s">
        <v>304</v>
      </c>
    </row>
    <row r="34" spans="2:29" ht="14.4"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2623</v>
      </c>
      <c r="AC34" s="60" t="s">
        <v>336</v>
      </c>
    </row>
    <row r="35" spans="2:29" ht="14.4"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4.4"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4.4"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4.4"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4.4"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4.4"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4.4"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4.4"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4.4"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4.4" thickBot="1">
      <c r="B44" s="348" t="s">
        <v>2620</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4.4" thickBot="1">
      <c r="B45" s="348" t="s">
        <v>2482</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4.4"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4.4"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4.4"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4.4"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4.4"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4.4"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4.4"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5"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5"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5"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5"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5" thickTop="1" thickBot="1">
      <c r="B57" s="449" t="s">
        <v>2788</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5"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5" thickTop="1" thickBot="1">
      <c r="B59" s="413" t="s">
        <v>2662</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5"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5"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5"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5"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5"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5"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5"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5"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5"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5"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5"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5"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5"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5"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5"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5"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5"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5"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5"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5"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5"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5"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5"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5"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5"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5"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5"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5"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5"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5"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5"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5"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5"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5"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5"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5"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5"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5"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5"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5"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5"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5"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5"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5"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5"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5"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5"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5"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5"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5"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5"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5"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5"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5"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5"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5"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5"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5"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5"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5"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5"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5"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5"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5"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5"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5"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5"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5"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5"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5"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5"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5"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5"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5"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5"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5"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5"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5"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5"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5"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5"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5"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5"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5"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5"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5"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5"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5"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5"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5"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5"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5"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5"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5"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5"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5"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5"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5"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5"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5"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5"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5"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5"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5"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5"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5"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5"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5"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5"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5"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5"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5"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5"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5"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5"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5"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5"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5"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5"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5"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5"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5"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5"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5"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5"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5"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5"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5"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5"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5"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5"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5"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5"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5"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5"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5"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5"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5"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5"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5"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5"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5"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5"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5"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5"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5"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5"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5"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5"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5"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5"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5"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5"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5"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5"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5"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5"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5"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5"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5"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5"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5"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5"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5"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5"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5"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5"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5"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5"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5"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5"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5"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5"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5"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5"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5"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5"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5"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5"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5"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5"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5"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5"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5"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5"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5"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5"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5"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5"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5"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5"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5"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5"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5"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5"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5"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5"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5"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5"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5"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5"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5"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5"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5"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5"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5"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5"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5"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5"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5"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5"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5"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5"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5"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5"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5"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5"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5"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5"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5"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5"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5"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5"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5"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5"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5"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5"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5"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5"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5"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5"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5"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5"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5"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5"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5"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5"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5"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5"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5"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5"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5"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5"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5"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5"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5"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5"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5"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5"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5"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5"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5"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5"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5"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5"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5"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5"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5"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5"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5"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5"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5"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5"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5"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5"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5"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5"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5"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5"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5"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5"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5"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5"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5"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5"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5"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5"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5"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5"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5"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5"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5"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5"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5"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5"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5"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5"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5"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5"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5"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5"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5"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5"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5"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5"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5"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5"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5"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5"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5"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5"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5"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5"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5"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5"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5"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5"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5"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5"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5"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5"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5"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5"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5"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5"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5"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5"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5"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5"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5"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5"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5"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5"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5"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5"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5"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5"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5"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5"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5"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5"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5"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5"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5"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5"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5"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5"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5"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5"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5"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5"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5"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5"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5"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5"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5"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5"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5"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5"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5"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5"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5"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5"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5"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5"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5"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5"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5"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5"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5"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5"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5"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5"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5"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5"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5"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5"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5"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5"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5"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5"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5"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5"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5"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5"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5"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5"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5"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5"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5"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5"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5"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5"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5"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5"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5"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5"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5"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5"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5"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5"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5"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5"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5"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5"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5"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5"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5"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5"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5"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5"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5"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5"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5"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5"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5"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5"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5"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5"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5"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5"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5"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5"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5"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5"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5"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5"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5"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5"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5"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5"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5"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5"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5"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4.4"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7"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9"/>
  <sheetViews>
    <sheetView workbookViewId="0">
      <selection activeCell="F13" sqref="F13"/>
    </sheetView>
  </sheetViews>
  <sheetFormatPr defaultRowHeight="15.6"/>
  <cols>
    <col min="1" max="1" width="18.59765625" bestFit="1" customWidth="1"/>
    <col min="3" max="3" width="27.296875" bestFit="1" customWidth="1"/>
  </cols>
  <sheetData>
    <row r="3" spans="1:3">
      <c r="A3" s="453" t="s">
        <v>21</v>
      </c>
      <c r="B3" s="453" t="s">
        <v>2281</v>
      </c>
      <c r="C3" s="453" t="s">
        <v>2283</v>
      </c>
    </row>
    <row r="4" spans="1:3">
      <c r="A4" s="448" t="s">
        <v>293</v>
      </c>
      <c r="B4" s="448" t="s">
        <v>2256</v>
      </c>
      <c r="C4" s="448" t="s">
        <v>2256</v>
      </c>
    </row>
    <row r="5" spans="1:3">
      <c r="A5" s="448" t="s">
        <v>293</v>
      </c>
      <c r="B5" s="448" t="s">
        <v>2269</v>
      </c>
      <c r="C5" s="448" t="s">
        <v>2269</v>
      </c>
    </row>
    <row r="6" spans="1:3">
      <c r="A6" s="448" t="s">
        <v>293</v>
      </c>
      <c r="B6" s="448" t="s">
        <v>2270</v>
      </c>
      <c r="C6" s="448" t="s">
        <v>2270</v>
      </c>
    </row>
    <row r="7" spans="1:3">
      <c r="A7" s="448" t="s">
        <v>293</v>
      </c>
      <c r="B7" s="448" t="s">
        <v>397</v>
      </c>
      <c r="C7" s="448" t="s">
        <v>397</v>
      </c>
    </row>
    <row r="8" spans="1:3">
      <c r="A8" s="448" t="s">
        <v>293</v>
      </c>
      <c r="B8" s="448" t="s">
        <v>286</v>
      </c>
      <c r="C8" s="448" t="s">
        <v>286</v>
      </c>
    </row>
    <row r="9" spans="1:3">
      <c r="A9" s="448" t="s">
        <v>293</v>
      </c>
      <c r="B9" s="448" t="s">
        <v>265</v>
      </c>
      <c r="C9" s="448" t="s">
        <v>265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DV53"/>
  <sheetViews>
    <sheetView tabSelected="1" zoomScaleNormal="100" zoomScaleSheetLayoutView="40" workbookViewId="0">
      <pane xSplit="8" ySplit="6" topLeftCell="CO36" activePane="bottomRight" state="frozen"/>
      <selection pane="topRight" activeCell="I1" sqref="I1"/>
      <selection pane="bottomLeft" activeCell="A7" sqref="A7"/>
      <selection pane="bottomRight" activeCell="CR7" sqref="CR7:CR48"/>
    </sheetView>
  </sheetViews>
  <sheetFormatPr defaultColWidth="9" defaultRowHeight="15.6" outlineLevelCol="1"/>
  <cols>
    <col min="1" max="1" width="9.09765625" style="34" customWidth="1"/>
    <col min="2" max="2" width="8.8984375" style="34" customWidth="1"/>
    <col min="3" max="3" width="10.296875" style="20" customWidth="1"/>
    <col min="4" max="4" width="15.296875" style="20" bestFit="1" customWidth="1"/>
    <col min="5" max="5" width="12.59765625" style="20" customWidth="1"/>
    <col min="6" max="6" width="10.09765625" style="20" customWidth="1"/>
    <col min="7" max="7" width="4.69921875" style="20" customWidth="1"/>
    <col min="8" max="8" width="18.296875" style="20" customWidth="1"/>
    <col min="9" max="9" width="7.69921875" style="20" customWidth="1"/>
    <col min="10" max="11" width="8.5" style="38" customWidth="1"/>
    <col min="12" max="12" width="14.796875" style="20" customWidth="1"/>
    <col min="13" max="13" width="17.69921875" customWidth="1"/>
    <col min="14" max="14" width="16.796875" customWidth="1"/>
    <col min="15" max="16" width="16.5" customWidth="1"/>
    <col min="17" max="18" width="16.5" style="448" customWidth="1"/>
    <col min="19" max="19" width="16.69921875" style="31" customWidth="1"/>
    <col min="20" max="20" width="18.19921875" style="31" customWidth="1"/>
    <col min="21" max="21" width="13.09765625" style="31" customWidth="1"/>
    <col min="22" max="22" width="14.59765625" style="31" customWidth="1"/>
    <col min="23" max="25" width="13.09765625" style="31" customWidth="1"/>
    <col min="26" max="26" width="17.3984375" style="31" customWidth="1"/>
    <col min="27" max="27" width="13.09765625" style="31" customWidth="1"/>
    <col min="28" max="28" width="20.09765625" style="31" customWidth="1"/>
    <col min="29" max="29" width="16.19921875" style="20" customWidth="1"/>
    <col min="30" max="30" width="14.796875" style="32" customWidth="1"/>
    <col min="31" max="31" width="13.19921875" style="32" customWidth="1"/>
    <col min="32" max="32" width="13.09765625" style="33" customWidth="1"/>
    <col min="33" max="34" width="17.59765625" style="20" customWidth="1"/>
    <col min="35" max="35" width="17.59765625" style="33" customWidth="1"/>
    <col min="36" max="36" width="13.09765625" style="33" customWidth="1"/>
    <col min="37" max="37" width="15.59765625" style="33" customWidth="1"/>
    <col min="38" max="39" width="13.09765625" style="33" customWidth="1"/>
    <col min="40" max="40" width="16.796875" style="35" customWidth="1"/>
    <col min="41" max="41" width="21.69921875" style="35" customWidth="1"/>
    <col min="42" max="42" width="12.296875" style="35" customWidth="1"/>
    <col min="43" max="43" width="13.09765625" style="35" customWidth="1"/>
    <col min="44" max="44" width="15" style="35" customWidth="1"/>
    <col min="45" max="45" width="16.296875" style="35" customWidth="1"/>
    <col min="46" max="46" width="15.5" style="35" customWidth="1"/>
    <col min="47" max="47" width="15.69921875" style="35" customWidth="1"/>
    <col min="48" max="49" width="13.09765625" style="35" customWidth="1"/>
    <col min="50" max="50" width="13.09765625" style="32" customWidth="1"/>
    <col min="51" max="51" width="26.69921875" customWidth="1"/>
    <col min="52" max="52" width="15.69921875" style="35" customWidth="1"/>
    <col min="53" max="53" width="16.69921875" style="35" customWidth="1"/>
    <col min="54" max="54" width="15.296875" style="35" customWidth="1"/>
    <col min="55" max="55" width="13.09765625" style="35" customWidth="1"/>
    <col min="56" max="56" width="13.09765625" style="35" hidden="1" customWidth="1"/>
    <col min="57" max="63" width="15.59765625" style="35" customWidth="1"/>
    <col min="64" max="65" width="13.09765625" style="35" customWidth="1" outlineLevel="1"/>
    <col min="66" max="66" width="11.09765625" style="35" customWidth="1" outlineLevel="1"/>
    <col min="67" max="67" width="15.5" customWidth="1" outlineLevel="1"/>
    <col min="68" max="68" width="20.296875" style="33" customWidth="1" outlineLevel="1"/>
    <col min="69" max="69" width="13.19921875" style="31" customWidth="1" outlineLevel="1"/>
    <col min="70" max="70" width="18.796875" style="31" customWidth="1" outlineLevel="1"/>
    <col min="71" max="71" width="13.09765625" style="33" customWidth="1" outlineLevel="1"/>
    <col min="72" max="72" width="14" style="31" customWidth="1" outlineLevel="1"/>
    <col min="73" max="73" width="15.5" style="31" customWidth="1" outlineLevel="1"/>
    <col min="74" max="74" width="18.296875" style="33" customWidth="1" outlineLevel="1"/>
    <col min="75" max="76" width="18.19921875" style="33" customWidth="1" outlineLevel="1"/>
    <col min="77" max="78" width="15.59765625" style="33" customWidth="1" outlineLevel="1"/>
    <col min="79" max="79" width="12.69921875" style="33" customWidth="1" outlineLevel="1"/>
    <col min="80" max="80" width="19.19921875" style="33" customWidth="1" outlineLevel="1"/>
    <col min="81" max="81" width="9" customWidth="1" outlineLevel="1"/>
    <col min="82" max="82" width="12.09765625" style="32" customWidth="1" outlineLevel="1"/>
    <col min="83" max="83" width="15.19921875" style="33" customWidth="1" outlineLevel="1"/>
    <col min="84" max="84" width="18" customWidth="1" outlineLevel="1"/>
    <col min="85" max="85" width="16.296875" style="33" customWidth="1" outlineLevel="1"/>
    <col min="86" max="86" width="13.19921875" style="33" customWidth="1" outlineLevel="1"/>
    <col min="87" max="87" width="12" style="33" customWidth="1" outlineLevel="1"/>
    <col min="88" max="88" width="15.5" style="33" customWidth="1" outlineLevel="1"/>
    <col min="89" max="89" width="15.296875" style="33" customWidth="1" outlineLevel="1"/>
    <col min="90" max="90" width="14.19921875" style="33" customWidth="1" outlineLevel="1"/>
    <col min="91" max="91" width="11.796875" style="33" customWidth="1" outlineLevel="1"/>
    <col min="92" max="92" width="17.796875" customWidth="1" outlineLevel="1"/>
    <col min="93" max="93" width="17.796875" style="448" customWidth="1" outlineLevel="1"/>
    <col min="94" max="95" width="22.59765625" style="448" customWidth="1" outlineLevel="1"/>
    <col min="96" max="96" width="18.8984375" style="448" customWidth="1" outlineLevel="1"/>
    <col min="97" max="98" width="16.296875" style="347" customWidth="1"/>
    <col min="99" max="102" width="12" style="33" customWidth="1"/>
    <col min="103" max="103" width="11.69921875" customWidth="1"/>
    <col min="104" max="104" width="13.69921875" style="33" customWidth="1"/>
    <col min="105" max="105" width="10.3984375" style="33" customWidth="1"/>
    <col min="106" max="108" width="16.59765625" style="33" customWidth="1"/>
    <col min="109" max="109" width="22.69921875" style="35" customWidth="1"/>
    <col min="110" max="111" width="12" style="31" customWidth="1"/>
    <col min="112" max="113" width="12" style="33" customWidth="1"/>
    <col min="115" max="115" width="15.296875" style="33" customWidth="1"/>
    <col min="116" max="116" width="10.09765625" style="36" customWidth="1"/>
    <col min="117" max="117" width="12" style="36" customWidth="1"/>
    <col min="118" max="118" width="21.09765625" style="37" bestFit="1" customWidth="1"/>
    <col min="119" max="119" width="11.19921875" style="37" customWidth="1"/>
    <col min="120" max="120" width="13.69921875" style="37" customWidth="1"/>
    <col min="121" max="121" width="24.796875" style="37" customWidth="1"/>
    <col min="122" max="122" width="9.09765625" style="37" customWidth="1"/>
    <col min="123" max="123" width="10.59765625" style="37" customWidth="1"/>
    <col min="124" max="124" width="15.296875" style="37" customWidth="1"/>
    <col min="125" max="125" width="9.5" style="37" customWidth="1"/>
    <col min="126" max="126" width="14.5" style="37" customWidth="1"/>
    <col min="127" max="127" width="9" style="20" customWidth="1"/>
    <col min="128" max="16384" width="9" style="20"/>
  </cols>
  <sheetData>
    <row r="1" spans="1:114" s="19" customFormat="1" ht="16.5" customHeight="1" thickBot="1">
      <c r="A1" s="220"/>
      <c r="B1" s="999" t="s">
        <v>3183</v>
      </c>
      <c r="C1" s="1000"/>
      <c r="D1" s="1001"/>
      <c r="E1" s="1002" t="s">
        <v>3184</v>
      </c>
      <c r="F1" s="1003"/>
      <c r="G1" s="1003"/>
      <c r="H1" s="1004"/>
      <c r="I1" s="215"/>
      <c r="J1" s="215"/>
      <c r="K1" s="737"/>
      <c r="L1" s="975" t="s">
        <v>3185</v>
      </c>
      <c r="M1" s="976"/>
      <c r="N1" s="68"/>
      <c r="O1" s="221" t="s">
        <v>1972</v>
      </c>
      <c r="P1" s="221"/>
      <c r="Q1" s="221"/>
      <c r="R1" s="221"/>
      <c r="S1" s="221"/>
      <c r="T1" s="221"/>
      <c r="U1" s="221"/>
      <c r="V1" s="221"/>
      <c r="W1" s="221"/>
      <c r="X1" s="221"/>
      <c r="Y1" s="221"/>
      <c r="Z1" s="221"/>
      <c r="AA1" s="221"/>
      <c r="AB1" s="221"/>
      <c r="AC1" s="222" t="s">
        <v>1973</v>
      </c>
      <c r="AD1" s="222"/>
      <c r="AE1" s="222"/>
      <c r="AF1" s="222"/>
      <c r="AG1" s="222"/>
      <c r="AH1" s="222"/>
      <c r="AI1" s="222"/>
      <c r="AJ1" s="222"/>
      <c r="AK1" s="222"/>
      <c r="AL1" s="222"/>
      <c r="AM1" s="222"/>
      <c r="AN1" s="222"/>
      <c r="AO1" s="222"/>
      <c r="AP1" s="223" t="s">
        <v>1974</v>
      </c>
      <c r="AQ1" s="223"/>
      <c r="AR1" s="223"/>
      <c r="AS1" s="223"/>
      <c r="AT1" s="223"/>
      <c r="AU1" s="223"/>
      <c r="AV1" s="223"/>
      <c r="AW1" s="223"/>
      <c r="AX1" s="738"/>
      <c r="AY1" s="223"/>
      <c r="AZ1" s="985" t="s">
        <v>2928</v>
      </c>
      <c r="BA1" s="986"/>
      <c r="BB1" s="986"/>
      <c r="BC1" s="987"/>
      <c r="BD1" s="715" t="s">
        <v>2947</v>
      </c>
      <c r="BE1" s="984" t="s">
        <v>2974</v>
      </c>
      <c r="BF1" s="984"/>
      <c r="BG1" s="984"/>
      <c r="BH1" s="845"/>
      <c r="BI1" s="845"/>
      <c r="BJ1" s="845"/>
      <c r="BK1" s="845"/>
      <c r="BL1" s="69" t="s">
        <v>111</v>
      </c>
      <c r="BM1" s="69"/>
      <c r="BN1" s="69"/>
      <c r="BO1" s="69"/>
      <c r="BP1" s="71"/>
      <c r="BQ1" s="71"/>
      <c r="BR1" s="69"/>
      <c r="BS1" s="69"/>
      <c r="BT1" s="69"/>
      <c r="BU1" s="69"/>
      <c r="BV1" s="69"/>
      <c r="BW1" s="71"/>
      <c r="BX1" s="71"/>
      <c r="BY1" s="71"/>
      <c r="BZ1" s="71"/>
      <c r="CA1" s="69"/>
      <c r="CB1" s="69"/>
      <c r="CC1" s="69"/>
      <c r="CD1" s="69"/>
      <c r="CE1" s="71"/>
      <c r="CF1" s="71"/>
      <c r="CG1" s="71"/>
      <c r="CH1" s="71"/>
      <c r="CI1" s="71"/>
      <c r="CJ1" s="69"/>
      <c r="CK1" s="69"/>
      <c r="CL1" s="69"/>
      <c r="CM1" s="69"/>
      <c r="CN1" s="69"/>
      <c r="CO1" s="69"/>
      <c r="CP1" s="69"/>
      <c r="CQ1" s="69"/>
      <c r="CR1" s="69"/>
      <c r="CS1" s="147"/>
      <c r="CT1" s="147"/>
      <c r="CU1" s="148"/>
      <c r="CV1" s="148"/>
      <c r="CW1" s="148"/>
      <c r="CX1" s="148"/>
      <c r="CY1" s="148"/>
      <c r="CZ1" s="148"/>
      <c r="DA1" s="148"/>
      <c r="DB1" s="148"/>
      <c r="DC1" s="148"/>
      <c r="DD1" s="148"/>
      <c r="DE1" s="148"/>
    </row>
    <row r="2" spans="1:114"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521" t="s">
        <v>68</v>
      </c>
      <c r="AC2" s="517" t="s">
        <v>69</v>
      </c>
      <c r="AD2" s="517" t="s">
        <v>1284</v>
      </c>
      <c r="AE2" s="517" t="s">
        <v>1285</v>
      </c>
      <c r="AF2" s="517" t="s">
        <v>1286</v>
      </c>
      <c r="AG2" s="517" t="s">
        <v>1287</v>
      </c>
      <c r="AH2" s="517" t="s">
        <v>1288</v>
      </c>
      <c r="AI2" s="517" t="s">
        <v>1289</v>
      </c>
      <c r="AJ2" s="517" t="s">
        <v>1290</v>
      </c>
      <c r="AK2" s="517" t="s">
        <v>1291</v>
      </c>
      <c r="AL2" s="517" t="s">
        <v>1292</v>
      </c>
      <c r="AM2" s="517" t="s">
        <v>1293</v>
      </c>
      <c r="AN2" s="517" t="s">
        <v>1959</v>
      </c>
      <c r="AO2" s="517" t="s">
        <v>1960</v>
      </c>
      <c r="AP2" s="518" t="s">
        <v>2198</v>
      </c>
      <c r="AQ2" s="518" t="s">
        <v>2302</v>
      </c>
      <c r="AR2" s="518" t="s">
        <v>2303</v>
      </c>
      <c r="AS2" s="518" t="s">
        <v>2304</v>
      </c>
      <c r="AT2" s="518" t="s">
        <v>2305</v>
      </c>
      <c r="AU2" s="518" t="s">
        <v>2307</v>
      </c>
      <c r="AV2" s="518" t="s">
        <v>2308</v>
      </c>
      <c r="AW2" s="518" t="s">
        <v>2309</v>
      </c>
      <c r="AX2" s="518" t="s">
        <v>2310</v>
      </c>
      <c r="AY2" s="518" t="s">
        <v>2311</v>
      </c>
      <c r="AZ2" s="519" t="s">
        <v>2312</v>
      </c>
      <c r="BA2" s="519" t="s">
        <v>2313</v>
      </c>
      <c r="BB2" s="519" t="s">
        <v>2314</v>
      </c>
      <c r="BC2" s="519" t="s">
        <v>2315</v>
      </c>
      <c r="BD2" s="520" t="s">
        <v>2316</v>
      </c>
      <c r="BE2" s="714" t="s">
        <v>2317</v>
      </c>
      <c r="BF2" s="815" t="s">
        <v>2318</v>
      </c>
      <c r="BG2" s="815" t="s">
        <v>2322</v>
      </c>
      <c r="BH2" s="849" t="s">
        <v>2323</v>
      </c>
      <c r="BI2" s="849" t="s">
        <v>2325</v>
      </c>
      <c r="BJ2" s="849" t="s">
        <v>2327</v>
      </c>
      <c r="BK2" s="849" t="s">
        <v>2328</v>
      </c>
      <c r="BL2" s="977" t="s">
        <v>2011</v>
      </c>
      <c r="BM2" s="978"/>
      <c r="BN2" s="979"/>
      <c r="BO2" s="981"/>
      <c r="BP2" s="983" t="s">
        <v>74</v>
      </c>
      <c r="BQ2" s="988"/>
      <c r="BR2" s="1006" t="s">
        <v>2468</v>
      </c>
      <c r="BS2" s="1007"/>
      <c r="BT2" s="1010" t="s">
        <v>2467</v>
      </c>
      <c r="BU2" s="1011"/>
      <c r="BV2" s="505"/>
      <c r="BW2" s="1005" t="s">
        <v>2470</v>
      </c>
      <c r="BX2" s="734"/>
      <c r="BY2" s="1005"/>
      <c r="BZ2" s="691"/>
      <c r="CA2" s="994"/>
      <c r="CB2" s="995" t="s">
        <v>1912</v>
      </c>
      <c r="CC2" s="996"/>
      <c r="CD2" s="993"/>
      <c r="CE2" s="816"/>
      <c r="CF2" s="522"/>
      <c r="CG2" s="522"/>
      <c r="CH2" s="522"/>
      <c r="CI2" s="522"/>
      <c r="CJ2" s="523"/>
      <c r="CK2" s="524" t="s">
        <v>1912</v>
      </c>
      <c r="CL2" s="525"/>
      <c r="CM2" s="522"/>
      <c r="CN2" s="522"/>
      <c r="CO2" s="685"/>
      <c r="CP2" s="685"/>
      <c r="CQ2" s="685"/>
      <c r="CR2" s="685"/>
      <c r="CS2" s="526" t="s">
        <v>7</v>
      </c>
      <c r="CT2" s="527" t="s">
        <v>8</v>
      </c>
      <c r="CU2" s="527" t="s">
        <v>9</v>
      </c>
      <c r="CV2" s="527" t="s">
        <v>10</v>
      </c>
      <c r="CW2" s="527" t="s">
        <v>11</v>
      </c>
      <c r="CX2" s="527" t="s">
        <v>12</v>
      </c>
      <c r="CY2" s="527" t="s">
        <v>13</v>
      </c>
      <c r="CZ2" s="527" t="s">
        <v>14</v>
      </c>
      <c r="DA2" s="527" t="s">
        <v>15</v>
      </c>
      <c r="DB2" s="527"/>
      <c r="DC2" s="527"/>
      <c r="DD2" s="527"/>
      <c r="DE2" s="527"/>
    </row>
    <row r="3" spans="1:114" s="247" customFormat="1" ht="90.75" hidden="1" customHeight="1" thickBot="1">
      <c r="A3" s="301" t="s">
        <v>2334</v>
      </c>
      <c r="B3" s="302" t="s">
        <v>2335</v>
      </c>
      <c r="C3" s="302" t="s">
        <v>2336</v>
      </c>
      <c r="D3" s="302" t="s">
        <v>2337</v>
      </c>
      <c r="E3" s="303" t="s">
        <v>2338</v>
      </c>
      <c r="F3" s="303" t="s">
        <v>2339</v>
      </c>
      <c r="G3" s="303" t="s">
        <v>2340</v>
      </c>
      <c r="H3" s="303" t="s">
        <v>2341</v>
      </c>
      <c r="I3" s="303" t="s">
        <v>2383</v>
      </c>
      <c r="J3" s="303" t="s">
        <v>2382</v>
      </c>
      <c r="K3" s="303"/>
      <c r="L3" s="304" t="s">
        <v>2342</v>
      </c>
      <c r="M3" s="304" t="s">
        <v>2343</v>
      </c>
      <c r="N3" s="301" t="s">
        <v>2439</v>
      </c>
      <c r="O3" s="559"/>
      <c r="P3" s="559"/>
      <c r="Q3" s="559"/>
      <c r="R3" s="559"/>
      <c r="S3" s="559"/>
      <c r="T3" s="559"/>
      <c r="U3" s="560"/>
      <c r="V3" s="560"/>
      <c r="W3" s="560"/>
      <c r="X3" s="560"/>
      <c r="Y3" s="560"/>
      <c r="Z3" s="560"/>
      <c r="AA3" s="560"/>
      <c r="AB3" s="561"/>
      <c r="AC3" s="562"/>
      <c r="AD3" s="562"/>
      <c r="AE3" s="562"/>
      <c r="AF3" s="562"/>
      <c r="AG3" s="562"/>
      <c r="AH3" s="562"/>
      <c r="AI3" s="562"/>
      <c r="AJ3" s="562"/>
      <c r="AK3" s="562"/>
      <c r="AL3" s="199"/>
      <c r="AM3" s="282"/>
      <c r="AN3" s="562"/>
      <c r="AO3" s="563"/>
      <c r="AP3" s="564"/>
      <c r="AQ3" s="564"/>
      <c r="AR3" s="564"/>
      <c r="AS3" s="564"/>
      <c r="AT3" s="564"/>
      <c r="AU3" s="564"/>
      <c r="AV3" s="565"/>
      <c r="AW3" s="564"/>
      <c r="AX3" s="739"/>
      <c r="AY3" s="566"/>
      <c r="AZ3" s="567"/>
      <c r="BA3" s="567"/>
      <c r="BB3" s="567"/>
      <c r="BC3" s="567"/>
      <c r="BD3" s="709"/>
      <c r="BE3" s="710"/>
      <c r="BF3" s="710"/>
      <c r="BG3" s="711"/>
      <c r="BH3" s="711"/>
      <c r="BI3" s="711"/>
      <c r="BJ3" s="711"/>
      <c r="BK3" s="711"/>
      <c r="BL3" s="980"/>
      <c r="BM3" s="981"/>
      <c r="BN3" s="982"/>
      <c r="BO3" s="981"/>
      <c r="BP3" s="983" t="s">
        <v>74</v>
      </c>
      <c r="BQ3" s="989"/>
      <c r="BR3" s="1008"/>
      <c r="BS3" s="1009"/>
      <c r="BT3" s="569"/>
      <c r="BU3" s="570"/>
      <c r="BV3" s="393"/>
      <c r="BW3" s="1005" t="s">
        <v>2470</v>
      </c>
      <c r="BX3" s="734"/>
      <c r="BY3" s="1005"/>
      <c r="BZ3" s="691"/>
      <c r="CA3" s="994"/>
      <c r="CB3" s="997"/>
      <c r="CC3" s="998"/>
      <c r="CD3" s="993"/>
      <c r="CE3" s="319" t="s">
        <v>2474</v>
      </c>
      <c r="CF3" s="318"/>
      <c r="CG3" s="318"/>
      <c r="CH3" s="319" t="s">
        <v>2473</v>
      </c>
      <c r="CI3" s="324" t="s">
        <v>1611</v>
      </c>
      <c r="CJ3" s="325"/>
      <c r="CK3" s="331"/>
      <c r="CL3" s="328"/>
      <c r="CM3" s="318"/>
      <c r="CN3" s="318"/>
      <c r="CO3" s="686"/>
      <c r="CP3" s="686"/>
      <c r="CQ3" s="686"/>
      <c r="CR3" s="686"/>
      <c r="CS3" s="245"/>
      <c r="CT3" s="246"/>
      <c r="CU3" s="246"/>
      <c r="CV3" s="246"/>
      <c r="CW3" s="246"/>
      <c r="CX3" s="246"/>
      <c r="CY3" s="246"/>
      <c r="CZ3" s="246"/>
      <c r="DA3" s="246"/>
      <c r="DB3" s="246"/>
      <c r="DC3" s="246"/>
      <c r="DD3" s="246"/>
      <c r="DE3" s="246"/>
    </row>
    <row r="4" spans="1:114" s="556" customFormat="1" ht="87" customHeight="1" thickBot="1">
      <c r="A4" s="297" t="s">
        <v>2279</v>
      </c>
      <c r="B4" s="298" t="s">
        <v>2281</v>
      </c>
      <c r="C4" s="298" t="s">
        <v>2283</v>
      </c>
      <c r="D4" s="298" t="s">
        <v>2285</v>
      </c>
      <c r="E4" s="299" t="s">
        <v>21</v>
      </c>
      <c r="F4" s="299" t="s">
        <v>22</v>
      </c>
      <c r="G4" s="299" t="s">
        <v>2287</v>
      </c>
      <c r="H4" s="299" t="s">
        <v>2288</v>
      </c>
      <c r="I4" s="299" t="s">
        <v>24</v>
      </c>
      <c r="J4" s="299" t="s">
        <v>1871</v>
      </c>
      <c r="K4" s="299" t="s">
        <v>2992</v>
      </c>
      <c r="L4" s="300" t="s">
        <v>2290</v>
      </c>
      <c r="M4" s="300" t="s">
        <v>2292</v>
      </c>
      <c r="N4" s="297" t="s">
        <v>2431</v>
      </c>
      <c r="O4" s="512" t="s">
        <v>3052</v>
      </c>
      <c r="P4" s="512" t="s">
        <v>3053</v>
      </c>
      <c r="Q4" s="512" t="s">
        <v>3056</v>
      </c>
      <c r="R4" s="512" t="s">
        <v>3057</v>
      </c>
      <c r="S4" s="512" t="s">
        <v>3058</v>
      </c>
      <c r="T4" s="187" t="s">
        <v>3059</v>
      </c>
      <c r="U4" s="187" t="s">
        <v>2842</v>
      </c>
      <c r="V4" s="187" t="s">
        <v>3060</v>
      </c>
      <c r="W4" s="187" t="s">
        <v>2843</v>
      </c>
      <c r="X4" s="187" t="s">
        <v>3062</v>
      </c>
      <c r="Y4" s="560" t="s">
        <v>2808</v>
      </c>
      <c r="Z4" s="187" t="s">
        <v>3064</v>
      </c>
      <c r="AA4" s="187" t="s">
        <v>3065</v>
      </c>
      <c r="AB4" s="561" t="s">
        <v>2870</v>
      </c>
      <c r="AC4" s="199" t="s">
        <v>2844</v>
      </c>
      <c r="AD4" s="562" t="s">
        <v>2845</v>
      </c>
      <c r="AE4" s="562" t="s">
        <v>2846</v>
      </c>
      <c r="AF4" s="199" t="s">
        <v>3068</v>
      </c>
      <c r="AG4" s="562" t="s">
        <v>2847</v>
      </c>
      <c r="AH4" s="562" t="s">
        <v>2848</v>
      </c>
      <c r="AI4" s="562" t="s">
        <v>3070</v>
      </c>
      <c r="AJ4" s="562" t="s">
        <v>2849</v>
      </c>
      <c r="AK4" s="562" t="s">
        <v>2850</v>
      </c>
      <c r="AL4" s="199" t="s">
        <v>2967</v>
      </c>
      <c r="AM4" s="282" t="s">
        <v>2968</v>
      </c>
      <c r="AN4" s="562" t="s">
        <v>2851</v>
      </c>
      <c r="AO4" s="563" t="s">
        <v>2869</v>
      </c>
      <c r="AP4" s="564" t="s">
        <v>2852</v>
      </c>
      <c r="AQ4" s="564" t="s">
        <v>2853</v>
      </c>
      <c r="AR4" s="564" t="s">
        <v>2854</v>
      </c>
      <c r="AS4" s="564" t="s">
        <v>2855</v>
      </c>
      <c r="AT4" s="564" t="s">
        <v>2856</v>
      </c>
      <c r="AU4" s="564" t="s">
        <v>2857</v>
      </c>
      <c r="AV4" s="565" t="s">
        <v>2858</v>
      </c>
      <c r="AW4" s="284" t="s">
        <v>3072</v>
      </c>
      <c r="AX4" s="565" t="s">
        <v>3073</v>
      </c>
      <c r="AY4" s="566" t="s">
        <v>2867</v>
      </c>
      <c r="AZ4" s="567" t="s">
        <v>2860</v>
      </c>
      <c r="BA4" s="567" t="s">
        <v>2861</v>
      </c>
      <c r="BB4" s="567" t="s">
        <v>2953</v>
      </c>
      <c r="BC4" s="567" t="s">
        <v>2809</v>
      </c>
      <c r="BD4" s="568" t="s">
        <v>2811</v>
      </c>
      <c r="BE4" s="514" t="s">
        <v>3076</v>
      </c>
      <c r="BF4" s="514" t="s">
        <v>3077</v>
      </c>
      <c r="BG4" s="514" t="s">
        <v>3078</v>
      </c>
      <c r="BH4" s="853" t="s">
        <v>3133</v>
      </c>
      <c r="BI4" s="853" t="s">
        <v>3134</v>
      </c>
      <c r="BJ4" s="853" t="s">
        <v>3135</v>
      </c>
      <c r="BK4" s="853" t="s">
        <v>3136</v>
      </c>
      <c r="BL4" s="717" t="s">
        <v>3108</v>
      </c>
      <c r="BM4" s="717" t="s">
        <v>3109</v>
      </c>
      <c r="BN4" s="541" t="s">
        <v>2465</v>
      </c>
      <c r="BO4" s="540" t="s">
        <v>2871</v>
      </c>
      <c r="BP4" s="542" t="s">
        <v>114</v>
      </c>
      <c r="BQ4" s="543" t="s">
        <v>115</v>
      </c>
      <c r="BR4" s="760" t="s">
        <v>3005</v>
      </c>
      <c r="BS4" s="544" t="s">
        <v>2471</v>
      </c>
      <c r="BT4" s="539" t="s">
        <v>117</v>
      </c>
      <c r="BU4" s="544" t="s">
        <v>116</v>
      </c>
      <c r="BV4" s="545" t="s">
        <v>2891</v>
      </c>
      <c r="BW4" s="545" t="s">
        <v>2469</v>
      </c>
      <c r="BX4" s="545" t="s">
        <v>2989</v>
      </c>
      <c r="BY4" s="546" t="s">
        <v>2333</v>
      </c>
      <c r="BZ4" s="546" t="s">
        <v>2975</v>
      </c>
      <c r="CA4" s="547" t="s">
        <v>119</v>
      </c>
      <c r="CB4" s="548" t="s">
        <v>118</v>
      </c>
      <c r="CC4" s="549" t="s">
        <v>2862</v>
      </c>
      <c r="CD4" s="550" t="s">
        <v>2863</v>
      </c>
      <c r="CE4" s="551" t="s">
        <v>75</v>
      </c>
      <c r="CF4" s="551" t="s">
        <v>1899</v>
      </c>
      <c r="CG4" s="551" t="s">
        <v>1900</v>
      </c>
      <c r="CH4" s="551" t="s">
        <v>1898</v>
      </c>
      <c r="CI4" s="552" t="s">
        <v>2475</v>
      </c>
      <c r="CJ4" s="553" t="s">
        <v>120</v>
      </c>
      <c r="CK4" s="554" t="s">
        <v>2864</v>
      </c>
      <c r="CL4" s="555" t="s">
        <v>121</v>
      </c>
      <c r="CM4" s="551" t="s">
        <v>122</v>
      </c>
      <c r="CN4" s="551" t="s">
        <v>2684</v>
      </c>
      <c r="CO4" s="567" t="s">
        <v>2953</v>
      </c>
      <c r="CP4" s="718" t="s">
        <v>2981</v>
      </c>
      <c r="CQ4" s="718" t="s">
        <v>3160</v>
      </c>
      <c r="CR4" s="718" t="s">
        <v>3149</v>
      </c>
      <c r="CS4" s="264" t="s">
        <v>27</v>
      </c>
      <c r="CT4" s="265" t="s">
        <v>28</v>
      </c>
      <c r="CU4" s="265" t="s">
        <v>124</v>
      </c>
      <c r="CV4" s="265" t="s">
        <v>29</v>
      </c>
      <c r="CW4" s="265" t="s">
        <v>30</v>
      </c>
      <c r="CX4" s="265" t="s">
        <v>31</v>
      </c>
      <c r="CY4" s="265" t="s">
        <v>32</v>
      </c>
      <c r="CZ4" s="265" t="s">
        <v>33</v>
      </c>
      <c r="DA4" s="265" t="s">
        <v>34</v>
      </c>
      <c r="DB4" s="265"/>
      <c r="DC4" s="265"/>
      <c r="DD4" s="265"/>
      <c r="DE4" s="265" t="s">
        <v>35</v>
      </c>
      <c r="DF4" s="991" t="s">
        <v>2946</v>
      </c>
      <c r="DG4" s="992"/>
      <c r="DH4" s="992"/>
    </row>
    <row r="5" spans="1:114" s="266" customFormat="1" ht="27" customHeight="1" thickBot="1">
      <c r="A5" s="260" t="s">
        <v>16</v>
      </c>
      <c r="B5" s="261" t="s">
        <v>16</v>
      </c>
      <c r="C5" s="261" t="s">
        <v>16</v>
      </c>
      <c r="D5" s="261" t="s">
        <v>18</v>
      </c>
      <c r="E5" s="262" t="s">
        <v>16</v>
      </c>
      <c r="F5" s="262" t="s">
        <v>16</v>
      </c>
      <c r="G5" s="262" t="s">
        <v>2410</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t="s">
        <v>18</v>
      </c>
      <c r="AC5" s="530" t="s">
        <v>17</v>
      </c>
      <c r="AD5" s="530" t="s">
        <v>17</v>
      </c>
      <c r="AE5" s="530" t="s">
        <v>17</v>
      </c>
      <c r="AF5" s="530" t="s">
        <v>17</v>
      </c>
      <c r="AG5" s="530" t="s">
        <v>54</v>
      </c>
      <c r="AH5" s="530" t="s">
        <v>54</v>
      </c>
      <c r="AI5" s="530" t="s">
        <v>54</v>
      </c>
      <c r="AJ5" s="530" t="s">
        <v>17</v>
      </c>
      <c r="AK5" s="530" t="s">
        <v>17</v>
      </c>
      <c r="AL5" s="530" t="s">
        <v>17</v>
      </c>
      <c r="AM5" s="530" t="s">
        <v>17</v>
      </c>
      <c r="AN5" s="530" t="s">
        <v>2294</v>
      </c>
      <c r="AO5" s="530" t="s">
        <v>18</v>
      </c>
      <c r="AP5" s="531" t="s">
        <v>17</v>
      </c>
      <c r="AQ5" s="531" t="s">
        <v>17</v>
      </c>
      <c r="AR5" s="531" t="s">
        <v>17</v>
      </c>
      <c r="AS5" s="531" t="s">
        <v>17</v>
      </c>
      <c r="AT5" s="531" t="s">
        <v>17</v>
      </c>
      <c r="AU5" s="531" t="s">
        <v>17</v>
      </c>
      <c r="AV5" s="531" t="s">
        <v>54</v>
      </c>
      <c r="AW5" s="531" t="s">
        <v>54</v>
      </c>
      <c r="AX5" s="740" t="s">
        <v>17</v>
      </c>
      <c r="AY5" s="531" t="s">
        <v>18</v>
      </c>
      <c r="AZ5" s="532" t="s">
        <v>54</v>
      </c>
      <c r="BA5" s="532" t="s">
        <v>54</v>
      </c>
      <c r="BB5" s="532" t="s">
        <v>54</v>
      </c>
      <c r="BC5" s="532" t="s">
        <v>54</v>
      </c>
      <c r="BD5" s="516" t="s">
        <v>54</v>
      </c>
      <c r="BE5" s="712" t="s">
        <v>17</v>
      </c>
      <c r="BF5" s="712" t="s">
        <v>17</v>
      </c>
      <c r="BG5" s="713" t="s">
        <v>17</v>
      </c>
      <c r="BH5" s="852" t="s">
        <v>17</v>
      </c>
      <c r="BI5" s="852" t="s">
        <v>17</v>
      </c>
      <c r="BJ5" s="852" t="s">
        <v>3139</v>
      </c>
      <c r="BK5" s="852" t="s">
        <v>18</v>
      </c>
      <c r="BL5" s="972"/>
      <c r="BM5" s="973"/>
      <c r="BN5" s="974"/>
      <c r="BO5" s="305" t="s">
        <v>54</v>
      </c>
      <c r="BP5" s="309" t="s">
        <v>17</v>
      </c>
      <c r="BQ5" s="311" t="s">
        <v>17</v>
      </c>
      <c r="BR5" s="972" t="s">
        <v>2012</v>
      </c>
      <c r="BS5" s="974"/>
      <c r="BT5" s="573" t="s">
        <v>17</v>
      </c>
      <c r="BU5" s="574" t="s">
        <v>17</v>
      </c>
      <c r="BV5" s="558" t="s">
        <v>54</v>
      </c>
      <c r="BW5" s="575" t="s">
        <v>17</v>
      </c>
      <c r="BX5" s="575"/>
      <c r="BY5" s="576" t="s">
        <v>17</v>
      </c>
      <c r="BZ5" s="716" t="s">
        <v>17</v>
      </c>
      <c r="CA5" s="557" t="s">
        <v>17</v>
      </c>
      <c r="CB5" s="577" t="s">
        <v>17</v>
      </c>
      <c r="CC5" s="578" t="s">
        <v>54</v>
      </c>
      <c r="CD5" s="314" t="s">
        <v>54</v>
      </c>
      <c r="CE5" s="320" t="s">
        <v>17</v>
      </c>
      <c r="CF5" s="321" t="s">
        <v>17</v>
      </c>
      <c r="CG5" s="321" t="s">
        <v>17</v>
      </c>
      <c r="CH5" s="321" t="s">
        <v>17</v>
      </c>
      <c r="CI5" s="321"/>
      <c r="CJ5" s="326" t="s">
        <v>54</v>
      </c>
      <c r="CK5" s="332" t="s">
        <v>54</v>
      </c>
      <c r="CL5" s="329" t="s">
        <v>54</v>
      </c>
      <c r="CM5" s="321" t="s">
        <v>54</v>
      </c>
      <c r="CN5" s="422"/>
      <c r="CO5" s="532" t="s">
        <v>54</v>
      </c>
      <c r="CP5" s="719" t="s">
        <v>17</v>
      </c>
      <c r="CQ5" s="719" t="s">
        <v>17</v>
      </c>
      <c r="CR5" s="719" t="s">
        <v>17</v>
      </c>
      <c r="CS5" s="264"/>
      <c r="CT5" s="265"/>
      <c r="CU5" s="265"/>
      <c r="CV5" s="265"/>
      <c r="CW5" s="265"/>
      <c r="CX5" s="265"/>
      <c r="CY5" s="265"/>
      <c r="CZ5" s="265"/>
      <c r="DA5" s="265"/>
      <c r="DB5" s="265"/>
      <c r="DC5" s="265"/>
      <c r="DD5" s="265"/>
      <c r="DE5" s="265"/>
      <c r="DF5" s="516"/>
      <c r="DG5" s="516"/>
      <c r="DH5" s="516"/>
      <c r="DI5" s="990" t="s">
        <v>3080</v>
      </c>
      <c r="DJ5" s="990"/>
    </row>
    <row r="6" spans="1:114" s="230" customFormat="1" ht="20.55" customHeight="1" thickTop="1" thickBot="1">
      <c r="A6" s="225" t="s">
        <v>20</v>
      </c>
      <c r="B6" s="217" t="s">
        <v>2281</v>
      </c>
      <c r="C6" s="217" t="s">
        <v>2283</v>
      </c>
      <c r="D6" s="217" t="s">
        <v>26</v>
      </c>
      <c r="E6" s="218" t="s">
        <v>21</v>
      </c>
      <c r="F6" s="218" t="s">
        <v>22</v>
      </c>
      <c r="G6" s="218" t="s">
        <v>123</v>
      </c>
      <c r="H6" s="218" t="s">
        <v>23</v>
      </c>
      <c r="I6" s="218" t="s">
        <v>24</v>
      </c>
      <c r="J6" s="218" t="s">
        <v>25</v>
      </c>
      <c r="K6" s="218" t="s">
        <v>2991</v>
      </c>
      <c r="L6" s="219" t="s">
        <v>2290</v>
      </c>
      <c r="M6" s="219" t="s">
        <v>2292</v>
      </c>
      <c r="N6" s="225" t="s">
        <v>2464</v>
      </c>
      <c r="O6" s="226" t="s">
        <v>3054</v>
      </c>
      <c r="P6" s="226" t="s">
        <v>3055</v>
      </c>
      <c r="Q6" s="226" t="s">
        <v>3127</v>
      </c>
      <c r="R6" s="226" t="s">
        <v>3128</v>
      </c>
      <c r="S6" s="226" t="s">
        <v>3129</v>
      </c>
      <c r="T6" s="226" t="s">
        <v>3130</v>
      </c>
      <c r="U6" s="216" t="s">
        <v>2816</v>
      </c>
      <c r="V6" s="216" t="s">
        <v>3061</v>
      </c>
      <c r="W6" s="216" t="s">
        <v>2817</v>
      </c>
      <c r="X6" s="216" t="s">
        <v>3063</v>
      </c>
      <c r="Y6" s="216" t="s">
        <v>2818</v>
      </c>
      <c r="Z6" s="216" t="s">
        <v>3066</v>
      </c>
      <c r="AA6" s="216" t="s">
        <v>3067</v>
      </c>
      <c r="AB6" s="216" t="s">
        <v>2829</v>
      </c>
      <c r="AC6" s="533" t="s">
        <v>2819</v>
      </c>
      <c r="AD6" s="533" t="s">
        <v>2820</v>
      </c>
      <c r="AE6" s="533" t="s">
        <v>2821</v>
      </c>
      <c r="AF6" s="533" t="s">
        <v>3069</v>
      </c>
      <c r="AG6" s="533" t="s">
        <v>2822</v>
      </c>
      <c r="AH6" s="533" t="s">
        <v>2823</v>
      </c>
      <c r="AI6" s="533" t="s">
        <v>3071</v>
      </c>
      <c r="AJ6" s="533" t="s">
        <v>2824</v>
      </c>
      <c r="AK6" s="533" t="s">
        <v>2825</v>
      </c>
      <c r="AL6" s="533" t="s">
        <v>2826</v>
      </c>
      <c r="AM6" s="533" t="s">
        <v>2971</v>
      </c>
      <c r="AN6" s="533" t="s">
        <v>2827</v>
      </c>
      <c r="AO6" s="534" t="s">
        <v>2828</v>
      </c>
      <c r="AP6" s="535" t="s">
        <v>2832</v>
      </c>
      <c r="AQ6" s="535" t="s">
        <v>2833</v>
      </c>
      <c r="AR6" s="535" t="s">
        <v>2834</v>
      </c>
      <c r="AS6" s="535" t="s">
        <v>2835</v>
      </c>
      <c r="AT6" s="535" t="s">
        <v>2836</v>
      </c>
      <c r="AU6" s="535" t="s">
        <v>2837</v>
      </c>
      <c r="AV6" s="535" t="s">
        <v>2831</v>
      </c>
      <c r="AW6" s="535" t="s">
        <v>2830</v>
      </c>
      <c r="AX6" s="741" t="s">
        <v>3074</v>
      </c>
      <c r="AY6" s="535" t="s">
        <v>2868</v>
      </c>
      <c r="AZ6" s="536" t="s">
        <v>2840</v>
      </c>
      <c r="BA6" s="536" t="s">
        <v>2838</v>
      </c>
      <c r="BB6" s="747" t="s">
        <v>2954</v>
      </c>
      <c r="BC6" s="536" t="s">
        <v>2841</v>
      </c>
      <c r="BD6" s="537" t="s">
        <v>2839</v>
      </c>
      <c r="BE6" s="798" t="s">
        <v>2972</v>
      </c>
      <c r="BF6" s="798" t="s">
        <v>2973</v>
      </c>
      <c r="BG6" s="799" t="s">
        <v>2970</v>
      </c>
      <c r="BH6" s="851" t="s">
        <v>3140</v>
      </c>
      <c r="BI6" s="851" t="s">
        <v>3141</v>
      </c>
      <c r="BJ6" s="851" t="s">
        <v>3142</v>
      </c>
      <c r="BK6" s="851" t="s">
        <v>3143</v>
      </c>
      <c r="BL6" s="307" t="s">
        <v>3110</v>
      </c>
      <c r="BM6" s="307" t="s">
        <v>3111</v>
      </c>
      <c r="BN6" s="308" t="s">
        <v>2465</v>
      </c>
      <c r="BO6" s="310" t="s">
        <v>2872</v>
      </c>
      <c r="BP6" s="334" t="s">
        <v>74</v>
      </c>
      <c r="BQ6" s="312" t="s">
        <v>1612</v>
      </c>
      <c r="BR6" s="306" t="s">
        <v>1913</v>
      </c>
      <c r="BS6" s="308" t="s">
        <v>2466</v>
      </c>
      <c r="BT6" s="571" t="s">
        <v>117</v>
      </c>
      <c r="BU6" s="572" t="s">
        <v>1613</v>
      </c>
      <c r="BV6" s="335" t="s">
        <v>2892</v>
      </c>
      <c r="BW6" s="335" t="s">
        <v>2470</v>
      </c>
      <c r="BX6" s="335" t="s">
        <v>2988</v>
      </c>
      <c r="BY6" s="746" t="s">
        <v>2976</v>
      </c>
      <c r="BZ6" s="746" t="s">
        <v>3158</v>
      </c>
      <c r="CA6" s="313" t="s">
        <v>119</v>
      </c>
      <c r="CB6" s="316" t="s">
        <v>118</v>
      </c>
      <c r="CC6" s="317" t="s">
        <v>1914</v>
      </c>
      <c r="CD6" s="315" t="s">
        <v>1888</v>
      </c>
      <c r="CE6" s="322" t="s">
        <v>1889</v>
      </c>
      <c r="CF6" s="323" t="s">
        <v>1899</v>
      </c>
      <c r="CG6" s="323" t="s">
        <v>1900</v>
      </c>
      <c r="CH6" s="322" t="s">
        <v>1901</v>
      </c>
      <c r="CI6" s="336" t="s">
        <v>2472</v>
      </c>
      <c r="CJ6" s="327" t="s">
        <v>1614</v>
      </c>
      <c r="CK6" s="333" t="s">
        <v>1615</v>
      </c>
      <c r="CL6" s="330" t="s">
        <v>1616</v>
      </c>
      <c r="CM6" s="323" t="s">
        <v>1617</v>
      </c>
      <c r="CN6" s="389" t="s">
        <v>2684</v>
      </c>
      <c r="CO6" s="687" t="s">
        <v>3075</v>
      </c>
      <c r="CP6" s="720" t="s">
        <v>2978</v>
      </c>
      <c r="CQ6" s="720" t="s">
        <v>2977</v>
      </c>
      <c r="CR6" s="720" t="s">
        <v>3159</v>
      </c>
      <c r="CS6" s="227" t="s">
        <v>27</v>
      </c>
      <c r="CT6" s="227" t="s">
        <v>28</v>
      </c>
      <c r="CU6" s="227" t="s">
        <v>124</v>
      </c>
      <c r="CV6" s="227" t="s">
        <v>29</v>
      </c>
      <c r="CW6" s="227" t="s">
        <v>30</v>
      </c>
      <c r="CX6" s="227" t="s">
        <v>31</v>
      </c>
      <c r="CY6" s="227" t="s">
        <v>32</v>
      </c>
      <c r="CZ6" s="227" t="s">
        <v>33</v>
      </c>
      <c r="DA6" s="228" t="s">
        <v>34</v>
      </c>
      <c r="DB6" s="590" t="s">
        <v>2906</v>
      </c>
      <c r="DC6" s="590" t="s">
        <v>2907</v>
      </c>
      <c r="DD6" s="590" t="s">
        <v>2908</v>
      </c>
      <c r="DE6" s="229" t="s">
        <v>35</v>
      </c>
      <c r="DF6" s="537" t="s">
        <v>2944</v>
      </c>
      <c r="DG6" s="537" t="s">
        <v>2945</v>
      </c>
      <c r="DH6" s="537" t="s">
        <v>2948</v>
      </c>
      <c r="DI6" s="797" t="s">
        <v>2999</v>
      </c>
      <c r="DJ6" s="797" t="s">
        <v>3000</v>
      </c>
    </row>
    <row r="7" spans="1:114" hidden="1">
      <c r="A7" s="824" t="s">
        <v>3144</v>
      </c>
      <c r="B7" s="855" t="s">
        <v>265</v>
      </c>
      <c r="C7" s="856" t="s">
        <v>265</v>
      </c>
      <c r="D7" s="856" t="s">
        <v>2983</v>
      </c>
      <c r="E7" s="856" t="s">
        <v>293</v>
      </c>
      <c r="F7" s="856" t="s">
        <v>401</v>
      </c>
      <c r="G7" s="857" t="s">
        <v>43</v>
      </c>
      <c r="H7" s="856" t="s">
        <v>411</v>
      </c>
      <c r="I7" s="858">
        <v>1112</v>
      </c>
      <c r="J7" s="858">
        <v>5133</v>
      </c>
      <c r="K7" s="684">
        <f>WWWW[[#This Row],[Total PoP ]]/WWWW[[#This Row],[Total HH]]</f>
        <v>4.6160071942446042</v>
      </c>
      <c r="L7" s="859" t="s">
        <v>3025</v>
      </c>
      <c r="M7" s="860" t="s">
        <v>3026</v>
      </c>
      <c r="N7" s="858"/>
      <c r="O7" s="500"/>
      <c r="P7" s="858"/>
      <c r="Q7" s="500">
        <v>14</v>
      </c>
      <c r="R7" s="500">
        <v>14</v>
      </c>
      <c r="S7" s="858"/>
      <c r="T7" s="858">
        <v>5133</v>
      </c>
      <c r="U7" s="858"/>
      <c r="V7" s="861"/>
      <c r="W7" s="858"/>
      <c r="X7" s="861"/>
      <c r="Y7" s="858"/>
      <c r="Z7" s="500"/>
      <c r="AA7" s="500"/>
      <c r="AB7" s="862"/>
      <c r="AC7" s="858">
        <v>168</v>
      </c>
      <c r="AD7" s="858">
        <v>198</v>
      </c>
      <c r="AE7" s="858"/>
      <c r="AF7" s="858"/>
      <c r="AG7" s="861">
        <v>0.99</v>
      </c>
      <c r="AH7" s="861">
        <v>0.98</v>
      </c>
      <c r="AI7" s="861">
        <v>0.98</v>
      </c>
      <c r="AJ7" s="858">
        <v>27</v>
      </c>
      <c r="AK7" s="858">
        <v>60</v>
      </c>
      <c r="AL7" s="858"/>
      <c r="AM7" s="500">
        <v>3</v>
      </c>
      <c r="AN7" s="858" t="s">
        <v>41</v>
      </c>
      <c r="AO7" s="863" t="s">
        <v>3152</v>
      </c>
      <c r="AP7" s="858">
        <v>997</v>
      </c>
      <c r="AQ7" s="858">
        <v>1200</v>
      </c>
      <c r="AR7" s="858">
        <v>1521</v>
      </c>
      <c r="AS7" s="858">
        <v>1415</v>
      </c>
      <c r="AT7" s="858">
        <v>1112</v>
      </c>
      <c r="AU7" s="858">
        <v>2224</v>
      </c>
      <c r="AV7" s="450"/>
      <c r="AW7" s="861">
        <v>0.79</v>
      </c>
      <c r="AX7" s="451"/>
      <c r="AY7" s="864" t="s">
        <v>3153</v>
      </c>
      <c r="AZ7" s="450">
        <v>0.98</v>
      </c>
      <c r="BA7" s="450">
        <v>0.99</v>
      </c>
      <c r="BB7" s="450">
        <v>0.99</v>
      </c>
      <c r="BC7" s="450">
        <v>1</v>
      </c>
      <c r="BD7" s="450"/>
      <c r="BE7" s="500"/>
      <c r="BF7" s="500"/>
      <c r="BG7" s="500"/>
      <c r="BH7" s="500"/>
      <c r="BI7" s="500"/>
      <c r="BJ7" s="500"/>
      <c r="BK7" s="500"/>
      <c r="BL7" s="865" t="str">
        <f>IF(WWWW[[#This Row],['#_Water samples_Tested_at_water_source]]="","no test","Tested")</f>
        <v>no test</v>
      </c>
      <c r="BM7" s="865" t="str">
        <f>IF(WWWW[[#This Row],['#_Water samples_Tested_at_HH]]="","no test","Tested")</f>
        <v>no test</v>
      </c>
      <c r="BN7" s="866" t="str">
        <f>IF(AND(WWWW[[#This Row],[Water_testing_at source]]="no test",WWWW[[#This Row],[Water_testing_at HH]]="no test"),"No Test","Tested")</f>
        <v>No Test</v>
      </c>
      <c r="BO7"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 s="867">
        <f>WWWW[[#This Row],[% HRP1]]*WWWW[[#This Row],[Total PoP ]]</f>
        <v>5133</v>
      </c>
      <c r="BQ7" s="868">
        <f>WWWW[[#This Row],[HRP1]]/500</f>
        <v>10.266</v>
      </c>
      <c r="BR7" s="869">
        <f>1-WWWW[[#This Row],[% HRP1]]</f>
        <v>0</v>
      </c>
      <c r="BS7" s="868">
        <f>WWWW[[#This Row],[%equitable and continuous access to sufficient quantity of safe drinking and domestic water''s GAP]]*WWWW[[#This Row],[Total PoP ]]</f>
        <v>0</v>
      </c>
      <c r="BT7" s="451">
        <f>ROUND(IF(WWWW[[#This Row],[Total PoP ]]&lt;500,1,WWWW[[#This Row],[Total PoP ]]/500),0)</f>
        <v>10</v>
      </c>
      <c r="BU7" s="866">
        <f>IF(WWWW[[#This Row],[Total required water points]]-WWWW[[#This Row],['#Water points coverage]]&lt;0,0,WWWW[[#This Row],[Total required water points]]-WWWW[[#This Row],['#Water points coverage]])</f>
        <v>0</v>
      </c>
      <c r="BV7" s="452">
        <f>WWWW[[#This Row],[HRP2]]/WWWW[[#This Row],[Total PoP ]]</f>
        <v>0.77147866744593807</v>
      </c>
      <c r="BW7"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3960</v>
      </c>
      <c r="BX7" s="455">
        <f>IF(WWWW[[#This Row],['#_Functional_adult_latrines]]="","",WWWW[[#This Row],[Total PoP ]]/WWWW[[#This Row],['#_Functional_adult_latrines]])</f>
        <v>30.553571428571427</v>
      </c>
      <c r="BY7" s="866">
        <f>WWWW[[#This Row],['#_of_latrines_in_TLS/CFS]]*50</f>
        <v>0</v>
      </c>
      <c r="BZ7" s="451">
        <f>IF(WWWW[[#This Row],['#_of_latrines_in_THF]]="",0,WWWW[[#This Row],['#_of_latrines_in_THF]]*50)</f>
        <v>150</v>
      </c>
      <c r="CA7" s="866">
        <f>ROUND(IF(WWWW[[#This Row],[Location Type 1]]="camp",WWWW[[#This Row],[Total PoP ]]/20),0)</f>
        <v>257</v>
      </c>
      <c r="CB7" s="866">
        <f>IF(WWWW[[#This Row],[Total required Latrines]]-WWWW[[#This Row],['#_Existing_latrines]]&lt;0,0,WWWW[[#This Row],[Total required Latrines]]-WWWW[[#This Row],['#_Existing_latrines]])</f>
        <v>59</v>
      </c>
      <c r="CC7" s="869">
        <f>1-WWWW[[#This Row],[% HRP2]]</f>
        <v>0.22852133255406193</v>
      </c>
      <c r="CD7" s="865">
        <f>IF(WWWW[[#This Row],['#_Existing_latrines]]="","NA",(WWWW[[#This Row],['#_Existing_latrines]]-WWWW[[#This Row],['#_Functional_adult_latrines]])/WWWW[[#This Row],['#_Existing_latrines]])</f>
        <v>0.15151515151515152</v>
      </c>
      <c r="CE7"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7"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7" s="866">
        <f>IF(WWWW[[#This Row],['#_of_affected_women_and_girls_receiving_a_sufficient_quantity_of_sanitary_pads]]&gt;WWWW[[#This Row],[Total PoP ]],WWWW[[#This Row],[Total PoP ]],WWWW[[#This Row],['#_of_affected_women_and_girls_receiving_a_sufficient_quantity_of_sanitary_pads]])</f>
        <v>2224</v>
      </c>
      <c r="CH7" s="866">
        <f>IF(WWWW[[#This Row],['# People with access to soap]]&gt;WWWW[[#This Row],['# People with access to Sanity Pads]],WWWW[[#This Row],['# People with access to soap]],WWWW[[#This Row],['# People with access to Sanity Pads]])</f>
        <v>5133</v>
      </c>
      <c r="CI7" s="866">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7" s="869">
        <f>IF(WWWW[[#This Row],[HRP3]]/WWWW[[#This Row],[Total PoP ]]&gt;100%,100%,WWWW[[#This Row],[HRP3]]/WWWW[[#This Row],[Total PoP ]])</f>
        <v>1</v>
      </c>
      <c r="CK7" s="865">
        <f>1-WWWW[[#This Row],[Hygiene Coverage%]]</f>
        <v>0</v>
      </c>
      <c r="CL7" s="861">
        <f>WWWW[[#This Row],['# people reached by regular dedicated hygiene promotion_5]]/WWWW[[#This Row],[Total PoP ]]</f>
        <v>1</v>
      </c>
      <c r="CM7" s="865">
        <f>IF(WWWW[[#This Row],['#_of_affected_households_receiving_a_sufficient_quantity_of_soap]]/WWWW[[#This Row],[Total HH]]&gt;1,1,WWWW[[#This Row],['#_of_affected_households_receiving_a_sufficient_quantity_of_soap]]/WWWW[[#This Row],[Total HH]])</f>
        <v>1</v>
      </c>
      <c r="CN7" s="455" t="str">
        <f>IF(WWWW[[#This Row],['#_students at TLS_CFS]]="","No","Yes")</f>
        <v>No</v>
      </c>
      <c r="CO7" s="452">
        <f>WWWW[[#This Row],[%_of_affected_people_surveyed_who_report_feeling_informed_about_the_different_WASH_services_available_to_them]]</f>
        <v>0.99</v>
      </c>
      <c r="CP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7" s="500">
        <f>IF(WWWW[[#This Row],['#_PPL_accessed_water_in_TLS]]&gt;WWWW[[#This Row],['# students access to functioning school latrines_HRP5]],WWWW[[#This Row],['#_PPL_accessed_water_in_TLS]],WWWW[[#This Row],['# students access to functioning school latrines_HRP5]])</f>
        <v>0</v>
      </c>
      <c r="CR7" s="500">
        <f>IF(WWWW[[#This Row],['#_PPL_accessed_water_in_THF]]&gt;WWWW[[#This Row],['# people access to functioning latrines in THF_HRP6]],WWWW[[#This Row],['#_PPL_accessed_water_in_THF]],WWWW[[#This Row],['# people access to functioning latrines in THF_HRP6]])</f>
        <v>150</v>
      </c>
      <c r="CS7" s="857" t="str">
        <f>VLOOKUP(WWWW[[#This Row],[Site Name]],SiteDB6[[Site Name]:[CCCM Management]],6,FALSE)</f>
        <v>Yes</v>
      </c>
      <c r="CT7" s="857" t="str">
        <f>VLOOKUP(WWWW[[#This Row],[Site Name]],SiteDB6[[Site Name]:[CCCM Focal Agency]],7,FALSE)</f>
        <v>LWF</v>
      </c>
      <c r="CU7" s="857" t="str">
        <f>VLOOKUP(WWWW[[#This Row],[Site Name]],SiteDB6[[Site Name]:[Location Type 1]],9,FALSE)</f>
        <v>Camp</v>
      </c>
      <c r="CV7" s="857" t="str">
        <f>VLOOKUP(WWWW[[#This Row],[Site Name]],SiteDB6[[Site Name]:[Type of Accommodation]],10,FALSE)</f>
        <v>Planned Camp</v>
      </c>
      <c r="CW7" s="857" t="str">
        <f>VLOOKUP(WWWW[[#This Row],[Site Name]],SiteDB6[[Site Name]:[Ethnic or GCA/NGCA]],11,FALSE)</f>
        <v>Muslim</v>
      </c>
      <c r="CX7" s="857">
        <f>VLOOKUP(WWWW[[#This Row],[Site Name]],SiteDB6[[Site Name]:[Lat]],12,FALSE)</f>
        <v>20.108101999999999</v>
      </c>
      <c r="CY7" s="857">
        <f>VLOOKUP(WWWW[[#This Row],[Site Name]],SiteDB6[[Site Name]:[Long]],13,FALSE)</f>
        <v>92.985095000000001</v>
      </c>
      <c r="CZ7" s="857" t="str">
        <f>VLOOKUP(WWWW[[#This Row],[Site Name]],SiteDB6[[Site Name]:[Pcode]],3,FALSE)</f>
        <v>MMR012CMP016</v>
      </c>
      <c r="DA7" s="870" t="str">
        <f t="shared" ref="DA7:DA27" si="0">IF(C7="none","Notcovered","Covered")</f>
        <v>Covered</v>
      </c>
      <c r="DB7" s="477">
        <f>VLOOKUP(WWWW[[#This Row],[Site Name]],SiteDB6[[Site Name]:[PWD_Total]],22,FALSE)</f>
        <v>279</v>
      </c>
      <c r="DC7" s="477">
        <f>VLOOKUP(WWWW[[#This Row],[Site Name]],SiteDB6[[Site Name]:[PWD_Total]],23,FALSE)</f>
        <v>636</v>
      </c>
      <c r="DD7" s="477">
        <f>WWWW[[#This Row],['# of Male_People with disabilities]]+WWWW[[#This Row],['# of Female_People with disabilities]]</f>
        <v>915</v>
      </c>
      <c r="DE7" s="857"/>
      <c r="DF7" s="870"/>
      <c r="DG7" s="870"/>
      <c r="DH7" s="870"/>
      <c r="DI7" s="870">
        <f>VLOOKUP(WWWW[[#This Row],[Site Name]],SiteDB6[[Site Name]:[Pop
(CCCM as of Autust 2021)]],16,FALSE)</f>
        <v>1115</v>
      </c>
      <c r="DJ7" s="870">
        <f>VLOOKUP(WWWW[[#This Row],[Site Name]],SiteDB6[[Site Name]:[Pop
(CCCM as of Autust 2021)]],17,FALSE)</f>
        <v>5197</v>
      </c>
    </row>
    <row r="8" spans="1:114" hidden="1">
      <c r="A8" s="824" t="s">
        <v>3144</v>
      </c>
      <c r="B8" s="855" t="s">
        <v>2270</v>
      </c>
      <c r="C8" s="856" t="s">
        <v>2270</v>
      </c>
      <c r="D8" s="856" t="s">
        <v>40</v>
      </c>
      <c r="E8" s="856" t="s">
        <v>293</v>
      </c>
      <c r="F8" s="856" t="s">
        <v>294</v>
      </c>
      <c r="G8" s="857" t="s">
        <v>43</v>
      </c>
      <c r="H8" s="856" t="s">
        <v>413</v>
      </c>
      <c r="I8" s="858">
        <v>382</v>
      </c>
      <c r="J8" s="858">
        <v>2139</v>
      </c>
      <c r="K8" s="684">
        <f>WWWW[[#This Row],[Total PoP ]]/WWWW[[#This Row],[Total HH]]</f>
        <v>5.5994764397905756</v>
      </c>
      <c r="L8" s="859">
        <v>44652</v>
      </c>
      <c r="M8" s="860">
        <v>44742</v>
      </c>
      <c r="N8" s="858"/>
      <c r="O8" s="500">
        <v>21</v>
      </c>
      <c r="P8" s="858">
        <v>23</v>
      </c>
      <c r="Q8" s="500"/>
      <c r="R8" s="500"/>
      <c r="S8" s="858"/>
      <c r="T8" s="858"/>
      <c r="U8" s="858"/>
      <c r="V8" s="861"/>
      <c r="W8" s="858"/>
      <c r="X8" s="861"/>
      <c r="Y8" s="858"/>
      <c r="Z8" s="500"/>
      <c r="AA8" s="500"/>
      <c r="AB8" s="862"/>
      <c r="AC8" s="858">
        <v>113</v>
      </c>
      <c r="AD8" s="858">
        <v>120</v>
      </c>
      <c r="AE8" s="858">
        <v>101</v>
      </c>
      <c r="AF8" s="858">
        <v>70</v>
      </c>
      <c r="AG8" s="861">
        <v>1</v>
      </c>
      <c r="AH8" s="861">
        <v>0.91</v>
      </c>
      <c r="AI8" s="861">
        <v>0.55000000000000004</v>
      </c>
      <c r="AJ8" s="858">
        <v>12</v>
      </c>
      <c r="AK8" s="858">
        <v>37</v>
      </c>
      <c r="AL8" s="858">
        <v>4</v>
      </c>
      <c r="AM8" s="500"/>
      <c r="AN8" s="858" t="s">
        <v>41</v>
      </c>
      <c r="AO8" s="863"/>
      <c r="AP8" s="858">
        <v>8</v>
      </c>
      <c r="AQ8" s="858">
        <v>27</v>
      </c>
      <c r="AR8" s="858">
        <v>9</v>
      </c>
      <c r="AS8" s="858">
        <v>89</v>
      </c>
      <c r="AT8" s="858">
        <v>382</v>
      </c>
      <c r="AU8" s="858">
        <v>764</v>
      </c>
      <c r="AV8" s="450">
        <v>1</v>
      </c>
      <c r="AW8" s="861">
        <v>1</v>
      </c>
      <c r="AX8" s="451">
        <v>8</v>
      </c>
      <c r="AY8" s="864"/>
      <c r="AZ8" s="450">
        <v>1</v>
      </c>
      <c r="BA8" s="450">
        <v>1</v>
      </c>
      <c r="BB8" s="450">
        <v>1</v>
      </c>
      <c r="BC8" s="450">
        <v>0.88</v>
      </c>
      <c r="BD8" s="450"/>
      <c r="BE8" s="500">
        <v>120</v>
      </c>
      <c r="BF8" s="500"/>
      <c r="BG8" s="500"/>
      <c r="BH8" s="500"/>
      <c r="BI8" s="500"/>
      <c r="BJ8" s="500"/>
      <c r="BK8" s="500"/>
      <c r="BL8" s="865" t="str">
        <f>IF(WWWW[[#This Row],['#_Water samples_Tested_at_water_source]]="","no test","Tested")</f>
        <v>no test</v>
      </c>
      <c r="BM8" s="865" t="str">
        <f>IF(WWWW[[#This Row],['#_Water samples_Tested_at_HH]]="","no test","Tested")</f>
        <v>no test</v>
      </c>
      <c r="BN8" s="866" t="str">
        <f>IF(AND(WWWW[[#This Row],[Water_testing_at source]]="no test",WWWW[[#This Row],[Water_testing_at HH]]="no test"),"No Test","Tested")</f>
        <v>No Test</v>
      </c>
      <c r="BO8"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 s="867">
        <f>WWWW[[#This Row],[% HRP1]]*WWWW[[#This Row],[Total PoP ]]</f>
        <v>2139</v>
      </c>
      <c r="BQ8" s="868">
        <f>WWWW[[#This Row],[HRP1]]/500</f>
        <v>4.2779999999999996</v>
      </c>
      <c r="BR8" s="869">
        <f>1-WWWW[[#This Row],[% HRP1]]</f>
        <v>0</v>
      </c>
      <c r="BS8" s="868">
        <f>WWWW[[#This Row],[%equitable and continuous access to sufficient quantity of safe drinking and domestic water''s GAP]]*WWWW[[#This Row],[Total PoP ]]</f>
        <v>0</v>
      </c>
      <c r="BT8" s="451">
        <f>ROUND(IF(WWWW[[#This Row],[Total PoP ]]&lt;500,1,WWWW[[#This Row],[Total PoP ]]/500),0)</f>
        <v>4</v>
      </c>
      <c r="BU8" s="866">
        <f>IF(WWWW[[#This Row],[Total required water points]]-WWWW[[#This Row],['#Water points coverage]]&lt;0,0,WWWW[[#This Row],[Total required water points]]-WWWW[[#This Row],['#Water points coverage]])</f>
        <v>0</v>
      </c>
      <c r="BV8" s="452">
        <f>WWWW[[#This Row],[HRP2]]/WWWW[[#This Row],[Total PoP ]]</f>
        <v>1</v>
      </c>
      <c r="BW8"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BX8" s="455">
        <f>IF(WWWW[[#This Row],['#_Functional_adult_latrines]]="","",WWWW[[#This Row],[Total PoP ]]/WWWW[[#This Row],['#_Functional_adult_latrines]])</f>
        <v>18.929203539823011</v>
      </c>
      <c r="BY8" s="866">
        <f>WWWW[[#This Row],['#_of_latrines_in_TLS/CFS]]*50</f>
        <v>200</v>
      </c>
      <c r="BZ8" s="451">
        <f>IF(WWWW[[#This Row],['#_of_latrines_in_THF]]="",0,WWWW[[#This Row],['#_of_latrines_in_THF]]*50)</f>
        <v>0</v>
      </c>
      <c r="CA8" s="866">
        <f>ROUND(IF(WWWW[[#This Row],[Location Type 1]]="camp",WWWW[[#This Row],[Total PoP ]]/20),0)</f>
        <v>107</v>
      </c>
      <c r="CB8" s="866">
        <f>IF(WWWW[[#This Row],[Total required Latrines]]-WWWW[[#This Row],['#_Existing_latrines]]&lt;0,0,WWWW[[#This Row],[Total required Latrines]]-WWWW[[#This Row],['#_Existing_latrines]])</f>
        <v>0</v>
      </c>
      <c r="CC8" s="869">
        <f>1-WWWW[[#This Row],[% HRP2]]</f>
        <v>0</v>
      </c>
      <c r="CD8" s="865">
        <f>IF(WWWW[[#This Row],['#_Existing_latrines]]="","NA",(WWWW[[#This Row],['#_Existing_latrines]]-WWWW[[#This Row],['#_Functional_adult_latrines]])/WWWW[[#This Row],['#_Existing_latrines]])</f>
        <v>5.8333333333333334E-2</v>
      </c>
      <c r="CE8"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v>
      </c>
      <c r="CF8"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2139</v>
      </c>
      <c r="CG8" s="866">
        <f>IF(WWWW[[#This Row],['#_of_affected_women_and_girls_receiving_a_sufficient_quantity_of_sanitary_pads]]&gt;WWWW[[#This Row],[Total PoP ]],WWWW[[#This Row],[Total PoP ]],WWWW[[#This Row],['#_of_affected_women_and_girls_receiving_a_sufficient_quantity_of_sanitary_pads]])</f>
        <v>764</v>
      </c>
      <c r="CH8" s="866">
        <f>IF(WWWW[[#This Row],['# People with access to soap]]&gt;WWWW[[#This Row],['# People with access to Sanity Pads]],WWWW[[#This Row],['# People with access to soap]],WWWW[[#This Row],['# People with access to Sanity Pads]])</f>
        <v>2139</v>
      </c>
      <c r="CI8" s="866">
        <f>IF(WWWW[[#This Row],['# people reached by regular dedicated hygiene promotion_5]]&gt;WWWW[[#This Row],['# People received regular supply of hygiene items_6]],WWWW[[#This Row],['# people reached by regular dedicated hygiene promotion_5]],WWWW[[#This Row],['# People received regular supply of hygiene items_6]])</f>
        <v>2139</v>
      </c>
      <c r="CJ8" s="869">
        <f>IF(WWWW[[#This Row],[HRP3]]/WWWW[[#This Row],[Total PoP ]]&gt;100%,100%,WWWW[[#This Row],[HRP3]]/WWWW[[#This Row],[Total PoP ]])</f>
        <v>1</v>
      </c>
      <c r="CK8" s="865">
        <f>1-WWWW[[#This Row],[Hygiene Coverage%]]</f>
        <v>0</v>
      </c>
      <c r="CL8" s="861">
        <f>WWWW[[#This Row],['# people reached by regular dedicated hygiene promotion_5]]/WWWW[[#This Row],[Total PoP ]]</f>
        <v>6.2178588125292193E-2</v>
      </c>
      <c r="CM8" s="865">
        <f>IF(WWWW[[#This Row],['#_of_affected_households_receiving_a_sufficient_quantity_of_soap]]/WWWW[[#This Row],[Total HH]]&gt;1,1,WWWW[[#This Row],['#_of_affected_households_receiving_a_sufficient_quantity_of_soap]]/WWWW[[#This Row],[Total HH]])</f>
        <v>1</v>
      </c>
      <c r="CN8" s="455" t="str">
        <f>IF(WWWW[[#This Row],['#_students at TLS_CFS]]="","No","Yes")</f>
        <v>No</v>
      </c>
      <c r="CO8" s="452">
        <f>WWWW[[#This Row],[%_of_affected_people_surveyed_who_report_feeling_informed_about_the_different_WASH_services_available_to_them]]</f>
        <v>1</v>
      </c>
      <c r="CP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Q8" s="500">
        <f>IF(WWWW[[#This Row],['#_PPL_accessed_water_in_TLS]]&gt;WWWW[[#This Row],['# students access to functioning school latrines_HRP5]],WWWW[[#This Row],['#_PPL_accessed_water_in_TLS]],WWWW[[#This Row],['# students access to functioning school latrines_HRP5]])</f>
        <v>200</v>
      </c>
      <c r="CR8" s="500">
        <f>IF(WWWW[[#This Row],['#_PPL_accessed_water_in_THF]]&gt;WWWW[[#This Row],['# people access to functioning latrines in THF_HRP6]],WWWW[[#This Row],['#_PPL_accessed_water_in_THF]],WWWW[[#This Row],['# people access to functioning latrines in THF_HRP6]])</f>
        <v>0</v>
      </c>
      <c r="CS8" s="857" t="str">
        <f>VLOOKUP(WWWW[[#This Row],[Site Name]],SiteDB6[[Site Name]:[CCCM Management]],6,FALSE)</f>
        <v>Yes</v>
      </c>
      <c r="CT8" s="857">
        <f>VLOOKUP(WWWW[[#This Row],[Site Name]],SiteDB6[[Site Name]:[CCCM Focal Agency]],7,FALSE)</f>
        <v>0</v>
      </c>
      <c r="CU8" s="857" t="str">
        <f>VLOOKUP(WWWW[[#This Row],[Site Name]],SiteDB6[[Site Name]:[Location Type 1]],9,FALSE)</f>
        <v>Camp</v>
      </c>
      <c r="CV8" s="857" t="str">
        <f>VLOOKUP(WWWW[[#This Row],[Site Name]],SiteDB6[[Site Name]:[Type of Accommodation]],10,FALSE)</f>
        <v>Planned Camp</v>
      </c>
      <c r="CW8" s="857" t="str">
        <f>VLOOKUP(WWWW[[#This Row],[Site Name]],SiteDB6[[Site Name]:[Ethnic or GCA/NGCA]],11,FALSE)</f>
        <v>Muslim</v>
      </c>
      <c r="CX8" s="857">
        <f>VLOOKUP(WWWW[[#This Row],[Site Name]],SiteDB6[[Site Name]:[Lat]],12,FALSE)</f>
        <v>20.128488999999998</v>
      </c>
      <c r="CY8" s="857">
        <f>VLOOKUP(WWWW[[#This Row],[Site Name]],SiteDB6[[Site Name]:[Long]],13,FALSE)</f>
        <v>92.875814000000005</v>
      </c>
      <c r="CZ8" s="857" t="str">
        <f>VLOOKUP(WWWW[[#This Row],[Site Name]],SiteDB6[[Site Name]:[Pcode]],3,FALSE)</f>
        <v>MMR012CMP039</v>
      </c>
      <c r="DA8" s="870" t="str">
        <f t="shared" si="0"/>
        <v>Covered</v>
      </c>
      <c r="DB8" s="477">
        <f>VLOOKUP(WWWW[[#This Row],[Site Name]],SiteDB6[[Site Name]:[PWD_Total]],22,FALSE)</f>
        <v>100</v>
      </c>
      <c r="DC8" s="477">
        <f>VLOOKUP(WWWW[[#This Row],[Site Name]],SiteDB6[[Site Name]:[PWD_Total]],23,FALSE)</f>
        <v>301</v>
      </c>
      <c r="DD8" s="477">
        <f>WWWW[[#This Row],['# of Male_People with disabilities]]+WWWW[[#This Row],['# of Female_People with disabilities]]</f>
        <v>401</v>
      </c>
      <c r="DE8" s="857"/>
      <c r="DF8" s="870"/>
      <c r="DG8" s="870"/>
      <c r="DH8" s="870"/>
      <c r="DI8" s="870">
        <f>VLOOKUP(WWWW[[#This Row],[Site Name]],SiteDB6[[Site Name]:[Pop
(CCCM as of Autust 2021)]],16,FALSE)</f>
        <v>380</v>
      </c>
      <c r="DJ8" s="870">
        <f>VLOOKUP(WWWW[[#This Row],[Site Name]],SiteDB6[[Site Name]:[Pop
(CCCM as of Autust 2021)]],17,FALSE)</f>
        <v>2435</v>
      </c>
    </row>
    <row r="9" spans="1:114" hidden="1">
      <c r="A9" s="824" t="s">
        <v>3144</v>
      </c>
      <c r="B9" s="855" t="s">
        <v>2270</v>
      </c>
      <c r="C9" s="856" t="s">
        <v>2270</v>
      </c>
      <c r="D9" s="856" t="s">
        <v>40</v>
      </c>
      <c r="E9" s="856" t="s">
        <v>293</v>
      </c>
      <c r="F9" s="856" t="s">
        <v>294</v>
      </c>
      <c r="G9" s="857" t="s">
        <v>43</v>
      </c>
      <c r="H9" s="856" t="s">
        <v>424</v>
      </c>
      <c r="I9" s="858">
        <v>1012</v>
      </c>
      <c r="J9" s="858">
        <v>4875</v>
      </c>
      <c r="K9" s="684">
        <f>WWWW[[#This Row],[Total PoP ]]/WWWW[[#This Row],[Total HH]]</f>
        <v>4.8171936758893281</v>
      </c>
      <c r="L9" s="859">
        <v>44652</v>
      </c>
      <c r="M9" s="860">
        <v>44742</v>
      </c>
      <c r="N9" s="858"/>
      <c r="O9" s="500">
        <v>42</v>
      </c>
      <c r="P9" s="858">
        <v>50</v>
      </c>
      <c r="Q9" s="500"/>
      <c r="R9" s="500"/>
      <c r="S9" s="858"/>
      <c r="T9" s="858"/>
      <c r="U9" s="858"/>
      <c r="V9" s="861"/>
      <c r="W9" s="858"/>
      <c r="X9" s="861"/>
      <c r="Y9" s="858"/>
      <c r="Z9" s="500"/>
      <c r="AA9" s="500"/>
      <c r="AB9" s="862"/>
      <c r="AC9" s="858">
        <v>232</v>
      </c>
      <c r="AD9" s="858">
        <v>254</v>
      </c>
      <c r="AE9" s="858">
        <v>221</v>
      </c>
      <c r="AF9" s="858">
        <v>285</v>
      </c>
      <c r="AG9" s="861">
        <v>1</v>
      </c>
      <c r="AH9" s="861">
        <v>0.97</v>
      </c>
      <c r="AI9" s="861">
        <v>0.11</v>
      </c>
      <c r="AJ9" s="858">
        <v>12</v>
      </c>
      <c r="AK9" s="858">
        <v>183</v>
      </c>
      <c r="AL9" s="858">
        <v>11</v>
      </c>
      <c r="AM9" s="500"/>
      <c r="AN9" s="858" t="s">
        <v>41</v>
      </c>
      <c r="AO9" s="863"/>
      <c r="AP9" s="858">
        <v>37</v>
      </c>
      <c r="AQ9" s="858">
        <v>26</v>
      </c>
      <c r="AR9" s="858">
        <v>8</v>
      </c>
      <c r="AS9" s="858">
        <v>131</v>
      </c>
      <c r="AT9" s="858">
        <v>1012</v>
      </c>
      <c r="AU9" s="858">
        <v>2024</v>
      </c>
      <c r="AV9" s="450">
        <v>0.86</v>
      </c>
      <c r="AW9" s="861">
        <v>1</v>
      </c>
      <c r="AX9" s="451">
        <v>0</v>
      </c>
      <c r="AY9" s="864"/>
      <c r="AZ9" s="450">
        <v>0.94</v>
      </c>
      <c r="BA9" s="450">
        <v>0.87</v>
      </c>
      <c r="BB9" s="450">
        <v>0.9</v>
      </c>
      <c r="BC9" s="450">
        <v>0.86</v>
      </c>
      <c r="BD9" s="450"/>
      <c r="BE9" s="500">
        <v>254</v>
      </c>
      <c r="BF9" s="500"/>
      <c r="BG9" s="500"/>
      <c r="BH9" s="500"/>
      <c r="BI9" s="500"/>
      <c r="BJ9" s="500"/>
      <c r="BK9" s="500"/>
      <c r="BL9" s="865" t="str">
        <f>IF(WWWW[[#This Row],['#_Water samples_Tested_at_water_source]]="","no test","Tested")</f>
        <v>no test</v>
      </c>
      <c r="BM9" s="865" t="str">
        <f>IF(WWWW[[#This Row],['#_Water samples_Tested_at_HH]]="","no test","Tested")</f>
        <v>no test</v>
      </c>
      <c r="BN9" s="866" t="str">
        <f>IF(AND(WWWW[[#This Row],[Water_testing_at source]]="no test",WWWW[[#This Row],[Water_testing_at HH]]="no test"),"No Test","Tested")</f>
        <v>No Test</v>
      </c>
      <c r="BO9"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9" s="867">
        <f>WWWW[[#This Row],[% HRP1]]*WWWW[[#This Row],[Total PoP ]]</f>
        <v>4875</v>
      </c>
      <c r="BQ9" s="868">
        <f>WWWW[[#This Row],[HRP1]]/500</f>
        <v>9.75</v>
      </c>
      <c r="BR9" s="869">
        <f>1-WWWW[[#This Row],[% HRP1]]</f>
        <v>0</v>
      </c>
      <c r="BS9" s="868">
        <f>WWWW[[#This Row],[%equitable and continuous access to sufficient quantity of safe drinking and domestic water''s GAP]]*WWWW[[#This Row],[Total PoP ]]</f>
        <v>0</v>
      </c>
      <c r="BT9" s="451">
        <f>ROUND(IF(WWWW[[#This Row],[Total PoP ]]&lt;500,1,WWWW[[#This Row],[Total PoP ]]/500),0)</f>
        <v>10</v>
      </c>
      <c r="BU9" s="866">
        <f>IF(WWWW[[#This Row],[Total required water points]]-WWWW[[#This Row],['#Water points coverage]]&lt;0,0,WWWW[[#This Row],[Total required water points]]-WWWW[[#This Row],['#Water points coverage]])</f>
        <v>0.25</v>
      </c>
      <c r="BV9" s="452">
        <f>WWWW[[#This Row],[HRP2]]/WWWW[[#This Row],[Total PoP ]]</f>
        <v>1</v>
      </c>
      <c r="BW9"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4875</v>
      </c>
      <c r="BX9" s="455">
        <f>IF(WWWW[[#This Row],['#_Functional_adult_latrines]]="","",WWWW[[#This Row],[Total PoP ]]/WWWW[[#This Row],['#_Functional_adult_latrines]])</f>
        <v>21.012931034482758</v>
      </c>
      <c r="BY9" s="866">
        <f>WWWW[[#This Row],['#_of_latrines_in_TLS/CFS]]*50</f>
        <v>550</v>
      </c>
      <c r="BZ9" s="451">
        <f>IF(WWWW[[#This Row],['#_of_latrines_in_THF]]="",0,WWWW[[#This Row],['#_of_latrines_in_THF]]*50)</f>
        <v>0</v>
      </c>
      <c r="CA9" s="866">
        <f>ROUND(IF(WWWW[[#This Row],[Location Type 1]]="camp",WWWW[[#This Row],[Total PoP ]]/20),0)</f>
        <v>244</v>
      </c>
      <c r="CB9" s="866">
        <f>IF(WWWW[[#This Row],[Total required Latrines]]-WWWW[[#This Row],['#_Existing_latrines]]&lt;0,0,WWWW[[#This Row],[Total required Latrines]]-WWWW[[#This Row],['#_Existing_latrines]])</f>
        <v>0</v>
      </c>
      <c r="CC9" s="869">
        <f>1-WWWW[[#This Row],[% HRP2]]</f>
        <v>0</v>
      </c>
      <c r="CD9" s="865">
        <f>IF(WWWW[[#This Row],['#_Existing_latrines]]="","NA",(WWWW[[#This Row],['#_Existing_latrines]]-WWWW[[#This Row],['#_Functional_adult_latrines]])/WWWW[[#This Row],['#_Existing_latrines]])</f>
        <v>8.6614173228346455E-2</v>
      </c>
      <c r="CE9"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202</v>
      </c>
      <c r="CF9"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4875</v>
      </c>
      <c r="CG9" s="866">
        <f>IF(WWWW[[#This Row],['#_of_affected_women_and_girls_receiving_a_sufficient_quantity_of_sanitary_pads]]&gt;WWWW[[#This Row],[Total PoP ]],WWWW[[#This Row],[Total PoP ]],WWWW[[#This Row],['#_of_affected_women_and_girls_receiving_a_sufficient_quantity_of_sanitary_pads]])</f>
        <v>2024</v>
      </c>
      <c r="CH9" s="866">
        <f>IF(WWWW[[#This Row],['# People with access to soap]]&gt;WWWW[[#This Row],['# People with access to Sanity Pads]],WWWW[[#This Row],['# People with access to soap]],WWWW[[#This Row],['# People with access to Sanity Pads]])</f>
        <v>4875</v>
      </c>
      <c r="CI9" s="866">
        <f>IF(WWWW[[#This Row],['# people reached by regular dedicated hygiene promotion_5]]&gt;WWWW[[#This Row],['# People received regular supply of hygiene items_6]],WWWW[[#This Row],['# people reached by regular dedicated hygiene promotion_5]],WWWW[[#This Row],['# People received regular supply of hygiene items_6]])</f>
        <v>4875</v>
      </c>
      <c r="CJ9" s="869">
        <f>IF(WWWW[[#This Row],[HRP3]]/WWWW[[#This Row],[Total PoP ]]&gt;100%,100%,WWWW[[#This Row],[HRP3]]/WWWW[[#This Row],[Total PoP ]])</f>
        <v>1</v>
      </c>
      <c r="CK9" s="865">
        <f>1-WWWW[[#This Row],[Hygiene Coverage%]]</f>
        <v>0</v>
      </c>
      <c r="CL9" s="861">
        <f>WWWW[[#This Row],['# people reached by regular dedicated hygiene promotion_5]]/WWWW[[#This Row],[Total PoP ]]</f>
        <v>4.1435897435897436E-2</v>
      </c>
      <c r="CM9" s="865">
        <f>IF(WWWW[[#This Row],['#_of_affected_households_receiving_a_sufficient_quantity_of_soap]]/WWWW[[#This Row],[Total HH]]&gt;1,1,WWWW[[#This Row],['#_of_affected_households_receiving_a_sufficient_quantity_of_soap]]/WWWW[[#This Row],[Total HH]])</f>
        <v>1</v>
      </c>
      <c r="CN9" s="455" t="str">
        <f>IF(WWWW[[#This Row],['#_students at TLS_CFS]]="","No","Yes")</f>
        <v>No</v>
      </c>
      <c r="CO9" s="452">
        <f>WWWW[[#This Row],[%_of_affected_people_surveyed_who_report_feeling_informed_about_the_different_WASH_services_available_to_them]]</f>
        <v>0.9</v>
      </c>
      <c r="CP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Q9" s="500">
        <f>IF(WWWW[[#This Row],['#_PPL_accessed_water_in_TLS]]&gt;WWWW[[#This Row],['# students access to functioning school latrines_HRP5]],WWWW[[#This Row],['#_PPL_accessed_water_in_TLS]],WWWW[[#This Row],['# students access to functioning school latrines_HRP5]])</f>
        <v>550</v>
      </c>
      <c r="CR9" s="500">
        <f>IF(WWWW[[#This Row],['#_PPL_accessed_water_in_THF]]&gt;WWWW[[#This Row],['# people access to functioning latrines in THF_HRP6]],WWWW[[#This Row],['#_PPL_accessed_water_in_THF]],WWWW[[#This Row],['# people access to functioning latrines in THF_HRP6]])</f>
        <v>0</v>
      </c>
      <c r="CS9" s="857" t="str">
        <f>VLOOKUP(WWWW[[#This Row],[Site Name]],SiteDB6[[Site Name]:[CCCM Management]],6,FALSE)</f>
        <v>Yes</v>
      </c>
      <c r="CT9" s="857">
        <f>VLOOKUP(WWWW[[#This Row],[Site Name]],SiteDB6[[Site Name]:[CCCM Focal Agency]],7,FALSE)</f>
        <v>0</v>
      </c>
      <c r="CU9" s="857" t="str">
        <f>VLOOKUP(WWWW[[#This Row],[Site Name]],SiteDB6[[Site Name]:[Location Type 1]],9,FALSE)</f>
        <v>Camp</v>
      </c>
      <c r="CV9" s="857" t="str">
        <f>VLOOKUP(WWWW[[#This Row],[Site Name]],SiteDB6[[Site Name]:[Type of Accommodation]],10,FALSE)</f>
        <v>Planned Camp</v>
      </c>
      <c r="CW9" s="857" t="str">
        <f>VLOOKUP(WWWW[[#This Row],[Site Name]],SiteDB6[[Site Name]:[Ethnic or GCA/NGCA]],11,FALSE)</f>
        <v>Muslim</v>
      </c>
      <c r="CX9" s="857">
        <f>VLOOKUP(WWWW[[#This Row],[Site Name]],SiteDB6[[Site Name]:[Lat]],12,FALSE)</f>
        <v>20.179417000000001</v>
      </c>
      <c r="CY9" s="857">
        <f>VLOOKUP(WWWW[[#This Row],[Site Name]],SiteDB6[[Site Name]:[Long]],13,FALSE)</f>
        <v>92.813028000000003</v>
      </c>
      <c r="CZ9" s="857" t="str">
        <f>VLOOKUP(WWWW[[#This Row],[Site Name]],SiteDB6[[Site Name]:[Pcode]],3,FALSE)</f>
        <v>MMR012CMP113</v>
      </c>
      <c r="DA9" s="870" t="str">
        <f t="shared" si="0"/>
        <v>Covered</v>
      </c>
      <c r="DB9" s="477">
        <f>VLOOKUP(WWWW[[#This Row],[Site Name]],SiteDB6[[Site Name]:[PWD_Total]],22,FALSE)</f>
        <v>46</v>
      </c>
      <c r="DC9" s="477">
        <f>VLOOKUP(WWWW[[#This Row],[Site Name]],SiteDB6[[Site Name]:[PWD_Total]],23,FALSE)</f>
        <v>436</v>
      </c>
      <c r="DD9" s="477">
        <f>WWWW[[#This Row],['# of Male_People with disabilities]]+WWWW[[#This Row],['# of Female_People with disabilities]]</f>
        <v>482</v>
      </c>
      <c r="DE9" s="857"/>
      <c r="DF9" s="870"/>
      <c r="DG9" s="870"/>
      <c r="DH9" s="870"/>
      <c r="DI9" s="870">
        <f>VLOOKUP(WWWW[[#This Row],[Site Name]],SiteDB6[[Site Name]:[Pop
(CCCM as of Autust 2021)]],16,FALSE)</f>
        <v>1012</v>
      </c>
      <c r="DJ9" s="870">
        <f>VLOOKUP(WWWW[[#This Row],[Site Name]],SiteDB6[[Site Name]:[Pop
(CCCM as of Autust 2021)]],17,FALSE)</f>
        <v>5066</v>
      </c>
    </row>
    <row r="10" spans="1:114" hidden="1">
      <c r="A10" s="824" t="s">
        <v>3144</v>
      </c>
      <c r="B10" s="856" t="s">
        <v>2270</v>
      </c>
      <c r="C10" s="856" t="s">
        <v>2270</v>
      </c>
      <c r="D10" s="856" t="s">
        <v>40</v>
      </c>
      <c r="E10" s="856" t="s">
        <v>293</v>
      </c>
      <c r="F10" s="856" t="s">
        <v>294</v>
      </c>
      <c r="G10" s="857" t="s">
        <v>43</v>
      </c>
      <c r="H10" s="856" t="s">
        <v>426</v>
      </c>
      <c r="I10" s="858">
        <v>1331</v>
      </c>
      <c r="J10" s="858">
        <v>7033</v>
      </c>
      <c r="K10" s="684">
        <f>WWWW[[#This Row],[Total PoP ]]/WWWW[[#This Row],[Total HH]]</f>
        <v>5.2839969947407965</v>
      </c>
      <c r="L10" s="859">
        <v>44652</v>
      </c>
      <c r="M10" s="860">
        <v>44742</v>
      </c>
      <c r="N10" s="858"/>
      <c r="O10" s="500">
        <v>69</v>
      </c>
      <c r="P10" s="858">
        <v>79</v>
      </c>
      <c r="Q10" s="500"/>
      <c r="R10" s="500"/>
      <c r="S10" s="858"/>
      <c r="T10" s="858"/>
      <c r="U10" s="858"/>
      <c r="V10" s="861"/>
      <c r="W10" s="858"/>
      <c r="X10" s="861"/>
      <c r="Y10" s="858"/>
      <c r="Z10" s="500"/>
      <c r="AA10" s="500"/>
      <c r="AB10" s="862"/>
      <c r="AC10" s="858">
        <v>265</v>
      </c>
      <c r="AD10" s="858">
        <v>328</v>
      </c>
      <c r="AE10" s="858"/>
      <c r="AF10" s="858"/>
      <c r="AG10" s="861"/>
      <c r="AH10" s="861"/>
      <c r="AI10" s="861"/>
      <c r="AJ10" s="858">
        <v>12</v>
      </c>
      <c r="AK10" s="858"/>
      <c r="AL10" s="858"/>
      <c r="AM10" s="500"/>
      <c r="AN10" s="858" t="s">
        <v>41</v>
      </c>
      <c r="AO10" s="863"/>
      <c r="AP10" s="858"/>
      <c r="AQ10" s="858"/>
      <c r="AR10" s="858"/>
      <c r="AS10" s="858"/>
      <c r="AT10" s="858">
        <v>1331</v>
      </c>
      <c r="AU10" s="858">
        <v>2662</v>
      </c>
      <c r="AV10" s="450"/>
      <c r="AW10" s="861"/>
      <c r="AX10" s="451"/>
      <c r="AY10" s="864"/>
      <c r="AZ10" s="450"/>
      <c r="BA10" s="450"/>
      <c r="BB10" s="450"/>
      <c r="BC10" s="450"/>
      <c r="BD10" s="450"/>
      <c r="BE10" s="500">
        <v>328</v>
      </c>
      <c r="BF10" s="500"/>
      <c r="BG10" s="500"/>
      <c r="BH10" s="500"/>
      <c r="BI10" s="500"/>
      <c r="BJ10" s="500"/>
      <c r="BK10" s="500"/>
      <c r="BL10" s="865" t="str">
        <f>IF(WWWW[[#This Row],['#_Water samples_Tested_at_water_source]]="","no test","Tested")</f>
        <v>no test</v>
      </c>
      <c r="BM10" s="865" t="str">
        <f>IF(WWWW[[#This Row],['#_Water samples_Tested_at_HH]]="","no test","Tested")</f>
        <v>no test</v>
      </c>
      <c r="BN10" s="866" t="str">
        <f>IF(AND(WWWW[[#This Row],[Water_testing_at source]]="no test",WWWW[[#This Row],[Water_testing_at HH]]="no test"),"No Test","Tested")</f>
        <v>No Test</v>
      </c>
      <c r="BO10"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0" s="867">
        <f>WWWW[[#This Row],[% HRP1]]*WWWW[[#This Row],[Total PoP ]]</f>
        <v>7033</v>
      </c>
      <c r="BQ10" s="868">
        <f>WWWW[[#This Row],[HRP1]]/500</f>
        <v>14.066000000000001</v>
      </c>
      <c r="BR10" s="869">
        <f>1-WWWW[[#This Row],[% HRP1]]</f>
        <v>0</v>
      </c>
      <c r="BS10" s="868">
        <f>WWWW[[#This Row],[%equitable and continuous access to sufficient quantity of safe drinking and domestic water''s GAP]]*WWWW[[#This Row],[Total PoP ]]</f>
        <v>0</v>
      </c>
      <c r="BT10" s="451">
        <f>ROUND(IF(WWWW[[#This Row],[Total PoP ]]&lt;500,1,WWWW[[#This Row],[Total PoP ]]/500),0)</f>
        <v>14</v>
      </c>
      <c r="BU10" s="866">
        <f>IF(WWWW[[#This Row],[Total required water points]]-WWWW[[#This Row],['#Water points coverage]]&lt;0,0,WWWW[[#This Row],[Total required water points]]-WWWW[[#This Row],['#Water points coverage]])</f>
        <v>0</v>
      </c>
      <c r="BV10" s="452">
        <f>WWWW[[#This Row],[HRP2]]/WWWW[[#This Row],[Total PoP ]]</f>
        <v>0.78771505758566762</v>
      </c>
      <c r="BW10"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5540</v>
      </c>
      <c r="BX10" s="455">
        <f>IF(WWWW[[#This Row],['#_Functional_adult_latrines]]="","",WWWW[[#This Row],[Total PoP ]]/WWWW[[#This Row],['#_Functional_adult_latrines]])</f>
        <v>26.539622641509435</v>
      </c>
      <c r="BY10" s="866">
        <f>WWWW[[#This Row],['#_of_latrines_in_TLS/CFS]]*50</f>
        <v>0</v>
      </c>
      <c r="BZ10" s="451">
        <f>IF(WWWW[[#This Row],['#_of_latrines_in_THF]]="",0,WWWW[[#This Row],['#_of_latrines_in_THF]]*50)</f>
        <v>0</v>
      </c>
      <c r="CA10" s="866">
        <f>ROUND(IF(WWWW[[#This Row],[Location Type 1]]="camp",WWWW[[#This Row],[Total PoP ]]/20),0)</f>
        <v>352</v>
      </c>
      <c r="CB10" s="866">
        <f>IF(WWWW[[#This Row],[Total required Latrines]]-WWWW[[#This Row],['#_Existing_latrines]]&lt;0,0,WWWW[[#This Row],[Total required Latrines]]-WWWW[[#This Row],['#_Existing_latrines]])</f>
        <v>24</v>
      </c>
      <c r="CC10" s="869">
        <f>1-WWWW[[#This Row],[% HRP2]]</f>
        <v>0.21228494241433238</v>
      </c>
      <c r="CD10" s="865">
        <f>IF(WWWW[[#This Row],['#_Existing_latrines]]="","NA",(WWWW[[#This Row],['#_Existing_latrines]]-WWWW[[#This Row],['#_Functional_adult_latrines]])/WWWW[[#This Row],['#_Existing_latrines]])</f>
        <v>0.19207317073170732</v>
      </c>
      <c r="CE10"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0"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7033</v>
      </c>
      <c r="CG10" s="866">
        <f>IF(WWWW[[#This Row],['#_of_affected_women_and_girls_receiving_a_sufficient_quantity_of_sanitary_pads]]&gt;WWWW[[#This Row],[Total PoP ]],WWWW[[#This Row],[Total PoP ]],WWWW[[#This Row],['#_of_affected_women_and_girls_receiving_a_sufficient_quantity_of_sanitary_pads]])</f>
        <v>2662</v>
      </c>
      <c r="CH10" s="866">
        <f>IF(WWWW[[#This Row],['# People with access to soap]]&gt;WWWW[[#This Row],['# People with access to Sanity Pads]],WWWW[[#This Row],['# People with access to soap]],WWWW[[#This Row],['# People with access to Sanity Pads]])</f>
        <v>7033</v>
      </c>
      <c r="CI10" s="866">
        <f>IF(WWWW[[#This Row],['# people reached by regular dedicated hygiene promotion_5]]&gt;WWWW[[#This Row],['# People received regular supply of hygiene items_6]],WWWW[[#This Row],['# people reached by regular dedicated hygiene promotion_5]],WWWW[[#This Row],['# People received regular supply of hygiene items_6]])</f>
        <v>7033</v>
      </c>
      <c r="CJ10" s="869">
        <f>IF(WWWW[[#This Row],[HRP3]]/WWWW[[#This Row],[Total PoP ]]&gt;100%,100%,WWWW[[#This Row],[HRP3]]/WWWW[[#This Row],[Total PoP ]])</f>
        <v>1</v>
      </c>
      <c r="CK10" s="865">
        <f>1-WWWW[[#This Row],[Hygiene Coverage%]]</f>
        <v>0</v>
      </c>
      <c r="CL10" s="861">
        <f>WWWW[[#This Row],['# people reached by regular dedicated hygiene promotion_5]]/WWWW[[#This Row],[Total PoP ]]</f>
        <v>0</v>
      </c>
      <c r="CM10" s="865">
        <f>IF(WWWW[[#This Row],['#_of_affected_households_receiving_a_sufficient_quantity_of_soap]]/WWWW[[#This Row],[Total HH]]&gt;1,1,WWWW[[#This Row],['#_of_affected_households_receiving_a_sufficient_quantity_of_soap]]/WWWW[[#This Row],[Total HH]])</f>
        <v>1</v>
      </c>
      <c r="CN10" s="455" t="str">
        <f>IF(WWWW[[#This Row],['#_students at TLS_CFS]]="","No","Yes")</f>
        <v>No</v>
      </c>
      <c r="CO10" s="452">
        <f>WWWW[[#This Row],[%_of_affected_people_surveyed_who_report_feeling_informed_about_the_different_WASH_services_available_to_them]]</f>
        <v>0</v>
      </c>
      <c r="CP1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328</v>
      </c>
      <c r="CQ10" s="500">
        <f>IF(WWWW[[#This Row],['#_PPL_accessed_water_in_TLS]]&gt;WWWW[[#This Row],['# students access to functioning school latrines_HRP5]],WWWW[[#This Row],['#_PPL_accessed_water_in_TLS]],WWWW[[#This Row],['# students access to functioning school latrines_HRP5]])</f>
        <v>0</v>
      </c>
      <c r="CR10" s="500">
        <f>IF(WWWW[[#This Row],['#_PPL_accessed_water_in_THF]]&gt;WWWW[[#This Row],['# people access to functioning latrines in THF_HRP6]],WWWW[[#This Row],['#_PPL_accessed_water_in_THF]],WWWW[[#This Row],['# people access to functioning latrines in THF_HRP6]])</f>
        <v>0</v>
      </c>
      <c r="CS10" s="857" t="str">
        <f>VLOOKUP(WWWW[[#This Row],[Site Name]],SiteDB6[[Site Name]:[CCCM Management]],6,FALSE)</f>
        <v>Yes</v>
      </c>
      <c r="CT10" s="857">
        <f>VLOOKUP(WWWW[[#This Row],[Site Name]],SiteDB6[[Site Name]:[CCCM Focal Agency]],7,FALSE)</f>
        <v>0</v>
      </c>
      <c r="CU10" s="857" t="str">
        <f>VLOOKUP(WWWW[[#This Row],[Site Name]],SiteDB6[[Site Name]:[Location Type 1]],9,FALSE)</f>
        <v>Camp</v>
      </c>
      <c r="CV10" s="857" t="str">
        <f>VLOOKUP(WWWW[[#This Row],[Site Name]],SiteDB6[[Site Name]:[Type of Accommodation]],10,FALSE)</f>
        <v>Planned Camp</v>
      </c>
      <c r="CW10" s="857" t="str">
        <f>VLOOKUP(WWWW[[#This Row],[Site Name]],SiteDB6[[Site Name]:[Ethnic or GCA/NGCA]],11,FALSE)</f>
        <v>Muslim</v>
      </c>
      <c r="CX10" s="857">
        <f>VLOOKUP(WWWW[[#This Row],[Site Name]],SiteDB6[[Site Name]:[Lat]],12,FALSE)</f>
        <v>20.181405999999999</v>
      </c>
      <c r="CY10" s="857">
        <f>VLOOKUP(WWWW[[#This Row],[Site Name]],SiteDB6[[Site Name]:[Long]],13,FALSE)</f>
        <v>92.807552000000001</v>
      </c>
      <c r="CZ10" s="857" t="str">
        <f>VLOOKUP(WWWW[[#This Row],[Site Name]],SiteDB6[[Site Name]:[Pcode]],3,FALSE)</f>
        <v>MMR012CMP114</v>
      </c>
      <c r="DA10" s="870" t="str">
        <f t="shared" si="0"/>
        <v>Covered</v>
      </c>
      <c r="DB10" s="477">
        <f>VLOOKUP(WWWW[[#This Row],[Site Name]],SiteDB6[[Site Name]:[PWD_Total]],22,FALSE)</f>
        <v>242</v>
      </c>
      <c r="DC10" s="477">
        <f>VLOOKUP(WWWW[[#This Row],[Site Name]],SiteDB6[[Site Name]:[PWD_Total]],23,FALSE)</f>
        <v>822</v>
      </c>
      <c r="DD10" s="477">
        <f>WWWW[[#This Row],['# of Male_People with disabilities]]+WWWW[[#This Row],['# of Female_People with disabilities]]</f>
        <v>1064</v>
      </c>
      <c r="DE10" s="857"/>
      <c r="DF10" s="870"/>
      <c r="DG10" s="870"/>
      <c r="DH10" s="870"/>
      <c r="DI10" s="870">
        <f>VLOOKUP(WWWW[[#This Row],[Site Name]],SiteDB6[[Site Name]:[Pop
(CCCM as of Autust 2021)]],16,FALSE)</f>
        <v>1346</v>
      </c>
      <c r="DJ10" s="870">
        <f>VLOOKUP(WWWW[[#This Row],[Site Name]],SiteDB6[[Site Name]:[Pop
(CCCM as of Autust 2021)]],17,FALSE)</f>
        <v>8414</v>
      </c>
    </row>
    <row r="11" spans="1:114" hidden="1">
      <c r="A11" s="824" t="s">
        <v>3144</v>
      </c>
      <c r="B11" s="856" t="s">
        <v>2270</v>
      </c>
      <c r="C11" s="856" t="s">
        <v>2270</v>
      </c>
      <c r="D11" s="856" t="s">
        <v>40</v>
      </c>
      <c r="E11" s="856" t="s">
        <v>293</v>
      </c>
      <c r="F11" s="856" t="s">
        <v>294</v>
      </c>
      <c r="G11" s="857" t="s">
        <v>43</v>
      </c>
      <c r="H11" s="856" t="s">
        <v>423</v>
      </c>
      <c r="I11" s="858">
        <v>1850</v>
      </c>
      <c r="J11" s="858">
        <v>11056</v>
      </c>
      <c r="K11" s="684">
        <f>WWWW[[#This Row],[Total PoP ]]/WWWW[[#This Row],[Total HH]]</f>
        <v>5.9762162162162165</v>
      </c>
      <c r="L11" s="859">
        <v>44652</v>
      </c>
      <c r="M11" s="860">
        <v>44742</v>
      </c>
      <c r="N11" s="858"/>
      <c r="O11" s="500">
        <v>79</v>
      </c>
      <c r="P11" s="858">
        <v>86</v>
      </c>
      <c r="Q11" s="500"/>
      <c r="R11" s="500"/>
      <c r="S11" s="858"/>
      <c r="T11" s="858"/>
      <c r="U11" s="858"/>
      <c r="V11" s="861"/>
      <c r="W11" s="858"/>
      <c r="X11" s="861"/>
      <c r="Y11" s="858"/>
      <c r="Z11" s="500"/>
      <c r="AA11" s="500"/>
      <c r="AB11" s="862"/>
      <c r="AC11" s="858">
        <v>438</v>
      </c>
      <c r="AD11" s="858">
        <v>570</v>
      </c>
      <c r="AE11" s="858">
        <v>213</v>
      </c>
      <c r="AF11" s="858">
        <v>191</v>
      </c>
      <c r="AG11" s="861" t="s">
        <v>3154</v>
      </c>
      <c r="AH11" s="861">
        <v>0.94</v>
      </c>
      <c r="AI11" s="861">
        <v>0.77</v>
      </c>
      <c r="AJ11" s="858">
        <v>12</v>
      </c>
      <c r="AK11" s="858">
        <v>68</v>
      </c>
      <c r="AL11" s="858">
        <v>7</v>
      </c>
      <c r="AM11" s="500"/>
      <c r="AN11" s="858" t="s">
        <v>41</v>
      </c>
      <c r="AO11" s="863"/>
      <c r="AP11" s="858">
        <v>45</v>
      </c>
      <c r="AQ11" s="858">
        <v>25</v>
      </c>
      <c r="AR11" s="858">
        <v>8</v>
      </c>
      <c r="AS11" s="858">
        <v>135</v>
      </c>
      <c r="AT11" s="858">
        <v>1850</v>
      </c>
      <c r="AU11" s="858">
        <v>3700</v>
      </c>
      <c r="AV11" s="450">
        <v>0.96</v>
      </c>
      <c r="AW11" s="861">
        <v>1</v>
      </c>
      <c r="AX11" s="451">
        <v>0</v>
      </c>
      <c r="AY11" s="864"/>
      <c r="AZ11" s="450">
        <v>1</v>
      </c>
      <c r="BA11" s="450">
        <v>1</v>
      </c>
      <c r="BB11" s="450">
        <v>1</v>
      </c>
      <c r="BC11" s="450">
        <v>0.79</v>
      </c>
      <c r="BD11" s="450"/>
      <c r="BE11" s="500">
        <v>570</v>
      </c>
      <c r="BF11" s="500"/>
      <c r="BG11" s="500"/>
      <c r="BH11" s="500"/>
      <c r="BI11" s="500"/>
      <c r="BJ11" s="500"/>
      <c r="BK11" s="500"/>
      <c r="BL11" s="865" t="str">
        <f>IF(WWWW[[#This Row],['#_Water samples_Tested_at_water_source]]="","no test","Tested")</f>
        <v>no test</v>
      </c>
      <c r="BM11" s="865" t="str">
        <f>IF(WWWW[[#This Row],['#_Water samples_Tested_at_HH]]="","no test","Tested")</f>
        <v>no test</v>
      </c>
      <c r="BN11" s="866" t="str">
        <f>IF(AND(WWWW[[#This Row],[Water_testing_at source]]="no test",WWWW[[#This Row],[Water_testing_at HH]]="no test"),"No Test","Tested")</f>
        <v>No Test</v>
      </c>
      <c r="BO11"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1" s="867">
        <f>WWWW[[#This Row],[% HRP1]]*WWWW[[#This Row],[Total PoP ]]</f>
        <v>11056</v>
      </c>
      <c r="BQ11" s="868">
        <f>WWWW[[#This Row],[HRP1]]/500</f>
        <v>22.111999999999998</v>
      </c>
      <c r="BR11" s="869">
        <f>1-WWWW[[#This Row],[% HRP1]]</f>
        <v>0</v>
      </c>
      <c r="BS11" s="868">
        <f>WWWW[[#This Row],[%equitable and continuous access to sufficient quantity of safe drinking and domestic water''s GAP]]*WWWW[[#This Row],[Total PoP ]]</f>
        <v>0</v>
      </c>
      <c r="BT11" s="451">
        <f>ROUND(IF(WWWW[[#This Row],[Total PoP ]]&lt;500,1,WWWW[[#This Row],[Total PoP ]]/500),0)</f>
        <v>22</v>
      </c>
      <c r="BU11" s="866">
        <f>IF(WWWW[[#This Row],[Total required water points]]-WWWW[[#This Row],['#Water points coverage]]&lt;0,0,WWWW[[#This Row],[Total required water points]]-WWWW[[#This Row],['#Water points coverage]])</f>
        <v>0</v>
      </c>
      <c r="BV11" s="452">
        <f>WWWW[[#This Row],[HRP2]]/WWWW[[#This Row],[Total PoP ]]</f>
        <v>0.82018813314037631</v>
      </c>
      <c r="BW11"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9068</v>
      </c>
      <c r="BX11" s="455">
        <f>IF(WWWW[[#This Row],['#_Functional_adult_latrines]]="","",WWWW[[#This Row],[Total PoP ]]/WWWW[[#This Row],['#_Functional_adult_latrines]])</f>
        <v>25.24200913242009</v>
      </c>
      <c r="BY11" s="866">
        <f>WWWW[[#This Row],['#_of_latrines_in_TLS/CFS]]*50</f>
        <v>350</v>
      </c>
      <c r="BZ11" s="451">
        <f>IF(WWWW[[#This Row],['#_of_latrines_in_THF]]="",0,WWWW[[#This Row],['#_of_latrines_in_THF]]*50)</f>
        <v>0</v>
      </c>
      <c r="CA11" s="866">
        <f>ROUND(IF(WWWW[[#This Row],[Location Type 1]]="camp",WWWW[[#This Row],[Total PoP ]]/20),0)</f>
        <v>553</v>
      </c>
      <c r="CB11" s="866">
        <f>IF(WWWW[[#This Row],[Total required Latrines]]-WWWW[[#This Row],['#_Existing_latrines]]&lt;0,0,WWWW[[#This Row],[Total required Latrines]]-WWWW[[#This Row],['#_Existing_latrines]])</f>
        <v>0</v>
      </c>
      <c r="CC11" s="869">
        <f>1-WWWW[[#This Row],[% HRP2]]</f>
        <v>0.17981186685962369</v>
      </c>
      <c r="CD11" s="865">
        <f>IF(WWWW[[#This Row],['#_Existing_latrines]]="","NA",(WWWW[[#This Row],['#_Existing_latrines]]-WWWW[[#This Row],['#_Functional_adult_latrines]])/WWWW[[#This Row],['#_Existing_latrines]])</f>
        <v>0.23157894736842105</v>
      </c>
      <c r="CE11"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213</v>
      </c>
      <c r="CF11"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11056</v>
      </c>
      <c r="CG11" s="866">
        <f>IF(WWWW[[#This Row],['#_of_affected_women_and_girls_receiving_a_sufficient_quantity_of_sanitary_pads]]&gt;WWWW[[#This Row],[Total PoP ]],WWWW[[#This Row],[Total PoP ]],WWWW[[#This Row],['#_of_affected_women_and_girls_receiving_a_sufficient_quantity_of_sanitary_pads]])</f>
        <v>3700</v>
      </c>
      <c r="CH11" s="866">
        <f>IF(WWWW[[#This Row],['# People with access to soap]]&gt;WWWW[[#This Row],['# People with access to Sanity Pads]],WWWW[[#This Row],['# People with access to soap]],WWWW[[#This Row],['# People with access to Sanity Pads]])</f>
        <v>11056</v>
      </c>
      <c r="CI11" s="866">
        <f>IF(WWWW[[#This Row],['# people reached by regular dedicated hygiene promotion_5]]&gt;WWWW[[#This Row],['# People received regular supply of hygiene items_6]],WWWW[[#This Row],['# people reached by regular dedicated hygiene promotion_5]],WWWW[[#This Row],['# People received regular supply of hygiene items_6]])</f>
        <v>11056</v>
      </c>
      <c r="CJ11" s="869">
        <f>IF(WWWW[[#This Row],[HRP3]]/WWWW[[#This Row],[Total PoP ]]&gt;100%,100%,WWWW[[#This Row],[HRP3]]/WWWW[[#This Row],[Total PoP ]])</f>
        <v>1</v>
      </c>
      <c r="CK11" s="865">
        <f>1-WWWW[[#This Row],[Hygiene Coverage%]]</f>
        <v>0</v>
      </c>
      <c r="CL11" s="861">
        <f>WWWW[[#This Row],['# people reached by regular dedicated hygiene promotion_5]]/WWWW[[#This Row],[Total PoP ]]</f>
        <v>1.9265557163531115E-2</v>
      </c>
      <c r="CM11" s="865">
        <f>IF(WWWW[[#This Row],['#_of_affected_households_receiving_a_sufficient_quantity_of_soap]]/WWWW[[#This Row],[Total HH]]&gt;1,1,WWWW[[#This Row],['#_of_affected_households_receiving_a_sufficient_quantity_of_soap]]/WWWW[[#This Row],[Total HH]])</f>
        <v>1</v>
      </c>
      <c r="CN11" s="455" t="str">
        <f>IF(WWWW[[#This Row],['#_students at TLS_CFS]]="","No","Yes")</f>
        <v>No</v>
      </c>
      <c r="CO11" s="452">
        <f>WWWW[[#This Row],[%_of_affected_people_surveyed_who_report_feeling_informed_about_the_different_WASH_services_available_to_them]]</f>
        <v>1</v>
      </c>
      <c r="CP1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570</v>
      </c>
      <c r="CQ11" s="500">
        <f>IF(WWWW[[#This Row],['#_PPL_accessed_water_in_TLS]]&gt;WWWW[[#This Row],['# students access to functioning school latrines_HRP5]],WWWW[[#This Row],['#_PPL_accessed_water_in_TLS]],WWWW[[#This Row],['# students access to functioning school latrines_HRP5]])</f>
        <v>350</v>
      </c>
      <c r="CR11" s="500">
        <f>IF(WWWW[[#This Row],['#_PPL_accessed_water_in_THF]]&gt;WWWW[[#This Row],['# people access to functioning latrines in THF_HRP6]],WWWW[[#This Row],['#_PPL_accessed_water_in_THF]],WWWW[[#This Row],['# people access to functioning latrines in THF_HRP6]])</f>
        <v>0</v>
      </c>
      <c r="CS11" s="857" t="str">
        <f>VLOOKUP(WWWW[[#This Row],[Site Name]],SiteDB6[[Site Name]:[CCCM Management]],6,FALSE)</f>
        <v>Yes</v>
      </c>
      <c r="CT11" s="857">
        <f>VLOOKUP(WWWW[[#This Row],[Site Name]],SiteDB6[[Site Name]:[CCCM Focal Agency]],7,FALSE)</f>
        <v>0</v>
      </c>
      <c r="CU11" s="857" t="str">
        <f>VLOOKUP(WWWW[[#This Row],[Site Name]],SiteDB6[[Site Name]:[Location Type 1]],9,FALSE)</f>
        <v>Camp</v>
      </c>
      <c r="CV11" s="857" t="str">
        <f>VLOOKUP(WWWW[[#This Row],[Site Name]],SiteDB6[[Site Name]:[Type of Accommodation]],10,FALSE)</f>
        <v>Planned Camp</v>
      </c>
      <c r="CW11" s="857" t="str">
        <f>VLOOKUP(WWWW[[#This Row],[Site Name]],SiteDB6[[Site Name]:[Ethnic or GCA/NGCA]],11,FALSE)</f>
        <v>Muslim</v>
      </c>
      <c r="CX11" s="857">
        <f>VLOOKUP(WWWW[[#This Row],[Site Name]],SiteDB6[[Site Name]:[Lat]],12,FALSE)</f>
        <v>20.16846</v>
      </c>
      <c r="CY11" s="857">
        <f>VLOOKUP(WWWW[[#This Row],[Site Name]],SiteDB6[[Site Name]:[Long]],13,FALSE)</f>
        <v>92.827427</v>
      </c>
      <c r="CZ11" s="857" t="str">
        <f>VLOOKUP(WWWW[[#This Row],[Site Name]],SiteDB6[[Site Name]:[Pcode]],3,FALSE)</f>
        <v>MMR012CMP041</v>
      </c>
      <c r="DA11" s="870" t="str">
        <f t="shared" si="0"/>
        <v>Covered</v>
      </c>
      <c r="DB11" s="477">
        <f>VLOOKUP(WWWW[[#This Row],[Site Name]],SiteDB6[[Site Name]:[PWD_Total]],22,FALSE)</f>
        <v>104</v>
      </c>
      <c r="DC11" s="477">
        <f>VLOOKUP(WWWW[[#This Row],[Site Name]],SiteDB6[[Site Name]:[PWD_Total]],23,FALSE)</f>
        <v>810</v>
      </c>
      <c r="DD11" s="477">
        <f>WWWW[[#This Row],['# of Male_People with disabilities]]+WWWW[[#This Row],['# of Female_People with disabilities]]</f>
        <v>914</v>
      </c>
      <c r="DE11" s="857"/>
      <c r="DF11" s="870"/>
      <c r="DG11" s="870"/>
      <c r="DH11" s="870"/>
      <c r="DI11" s="870">
        <f>VLOOKUP(WWWW[[#This Row],[Site Name]],SiteDB6[[Site Name]:[Pop
(CCCM as of Autust 2021)]],16,FALSE)</f>
        <v>1713</v>
      </c>
      <c r="DJ11" s="870">
        <f>VLOOKUP(WWWW[[#This Row],[Site Name]],SiteDB6[[Site Name]:[Pop
(CCCM as of Autust 2021)]],17,FALSE)</f>
        <v>11460</v>
      </c>
    </row>
    <row r="12" spans="1:114" hidden="1">
      <c r="A12" s="824" t="s">
        <v>3144</v>
      </c>
      <c r="B12" s="824" t="s">
        <v>2269</v>
      </c>
      <c r="C12" s="825" t="s">
        <v>2269</v>
      </c>
      <c r="D12" s="825" t="s">
        <v>40</v>
      </c>
      <c r="E12" s="856" t="s">
        <v>293</v>
      </c>
      <c r="F12" s="825" t="s">
        <v>294</v>
      </c>
      <c r="G12" s="857" t="s">
        <v>43</v>
      </c>
      <c r="H12" s="825" t="s">
        <v>2271</v>
      </c>
      <c r="I12" s="827">
        <v>400</v>
      </c>
      <c r="J12" s="827">
        <v>2248</v>
      </c>
      <c r="K12" s="684">
        <f>WWWW[[#This Row],[Total PoP ]]/WWWW[[#This Row],[Total HH]]</f>
        <v>5.62</v>
      </c>
      <c r="L12" s="828">
        <v>44197</v>
      </c>
      <c r="M12" s="829">
        <v>44592</v>
      </c>
      <c r="N12" s="827"/>
      <c r="O12" s="500">
        <v>47</v>
      </c>
      <c r="P12" s="827">
        <v>53</v>
      </c>
      <c r="Q12" s="500"/>
      <c r="R12" s="500"/>
      <c r="S12" s="827"/>
      <c r="T12" s="827"/>
      <c r="U12" s="500"/>
      <c r="V12" s="450"/>
      <c r="W12" s="827"/>
      <c r="X12" s="830"/>
      <c r="Y12" s="827"/>
      <c r="Z12" s="500"/>
      <c r="AA12" s="500"/>
      <c r="AB12" s="831"/>
      <c r="AC12" s="827">
        <v>100</v>
      </c>
      <c r="AD12" s="827">
        <v>116</v>
      </c>
      <c r="AE12" s="827"/>
      <c r="AF12" s="827"/>
      <c r="AG12" s="830"/>
      <c r="AH12" s="830"/>
      <c r="AI12" s="830"/>
      <c r="AJ12" s="827">
        <v>12</v>
      </c>
      <c r="AK12" s="827">
        <v>29</v>
      </c>
      <c r="AL12" s="827">
        <v>4</v>
      </c>
      <c r="AM12" s="500"/>
      <c r="AN12" s="827" t="s">
        <v>41</v>
      </c>
      <c r="AO12" s="832"/>
      <c r="AP12" s="827"/>
      <c r="AQ12" s="827"/>
      <c r="AR12" s="827"/>
      <c r="AS12" s="827"/>
      <c r="AT12" s="827"/>
      <c r="AU12" s="827"/>
      <c r="AV12" s="450"/>
      <c r="AW12" s="830"/>
      <c r="AX12" s="451">
        <v>5</v>
      </c>
      <c r="AY12" s="840"/>
      <c r="AZ12" s="450"/>
      <c r="BA12" s="450"/>
      <c r="BB12" s="450"/>
      <c r="BC12" s="450"/>
      <c r="BD12" s="450"/>
      <c r="BE12" s="500"/>
      <c r="BF12" s="500"/>
      <c r="BG12" s="500"/>
      <c r="BH12" s="850"/>
      <c r="BI12" s="850"/>
      <c r="BJ12" s="847"/>
      <c r="BK12" s="500"/>
      <c r="BL12" s="834" t="str">
        <f>IF(WWWW[[#This Row],['#_Water samples_Tested_at_water_source]]="","no test","Tested")</f>
        <v>no test</v>
      </c>
      <c r="BM12" s="834" t="str">
        <f>IF(WWWW[[#This Row],['#_Water samples_Tested_at_HH]]="","no test","Tested")</f>
        <v>no test</v>
      </c>
      <c r="BN12" s="835" t="str">
        <f>IF(AND(WWWW[[#This Row],[Water_testing_at source]]="no test",WWWW[[#This Row],[Water_testing_at HH]]="no test"),"No Test","Tested")</f>
        <v>No Test</v>
      </c>
      <c r="BO12"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2" s="836">
        <f>WWWW[[#This Row],[% HRP1]]*WWWW[[#This Row],[Total PoP ]]</f>
        <v>2248</v>
      </c>
      <c r="BQ12" s="837">
        <f>WWWW[[#This Row],[HRP1]]/500</f>
        <v>4.4960000000000004</v>
      </c>
      <c r="BR12" s="838">
        <f>1-WWWW[[#This Row],[% HRP1]]</f>
        <v>0</v>
      </c>
      <c r="BS12" s="837">
        <f>WWWW[[#This Row],[%equitable and continuous access to sufficient quantity of safe drinking and domestic water''s GAP]]*WWWW[[#This Row],[Total PoP ]]</f>
        <v>0</v>
      </c>
      <c r="BT12" s="451">
        <f>ROUND(IF(WWWW[[#This Row],[Total PoP ]]&lt;500,1,WWWW[[#This Row],[Total PoP ]]/500),0)</f>
        <v>4</v>
      </c>
      <c r="BU12" s="835">
        <f>IF(WWWW[[#This Row],[Total required water points]]-WWWW[[#This Row],['#Water points coverage]]&lt;0,0,WWWW[[#This Row],[Total required water points]]-WWWW[[#This Row],['#Water points coverage]])</f>
        <v>0</v>
      </c>
      <c r="BV12" s="452">
        <f>WWWW[[#This Row],[HRP2]]/WWWW[[#This Row],[Total PoP ]]</f>
        <v>1</v>
      </c>
      <c r="BW12"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BX12" s="455">
        <f>IF(WWWW[[#This Row],['#_Functional_adult_latrines]]="","",WWWW[[#This Row],[Total PoP ]]/WWWW[[#This Row],['#_Functional_adult_latrines]])</f>
        <v>22.48</v>
      </c>
      <c r="BY12" s="835">
        <f>WWWW[[#This Row],['#_of_latrines_in_TLS/CFS]]*50</f>
        <v>200</v>
      </c>
      <c r="BZ12" s="451">
        <f>IF(WWWW[[#This Row],['#_of_latrines_in_THF]]="",0,WWWW[[#This Row],['#_of_latrines_in_THF]]*50)</f>
        <v>0</v>
      </c>
      <c r="CA12" s="835">
        <f>ROUND(IF(WWWW[[#This Row],[Location Type 1]]="camp",WWWW[[#This Row],[Total PoP ]]/20),0)</f>
        <v>112</v>
      </c>
      <c r="CB12" s="835">
        <f>IF(WWWW[[#This Row],[Total required Latrines]]-WWWW[[#This Row],['#_Existing_latrines]]&lt;0,0,WWWW[[#This Row],[Total required Latrines]]-WWWW[[#This Row],['#_Existing_latrines]])</f>
        <v>0</v>
      </c>
      <c r="CC12" s="838">
        <f>1-WWWW[[#This Row],[% HRP2]]</f>
        <v>0</v>
      </c>
      <c r="CD12" s="834">
        <f>IF(WWWW[[#This Row],['#_Existing_latrines]]="","NA",(WWWW[[#This Row],['#_Existing_latrines]]-WWWW[[#This Row],['#_Functional_adult_latrines]])/WWWW[[#This Row],['#_Existing_latrines]])</f>
        <v>0.13793103448275862</v>
      </c>
      <c r="CE12"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2"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2" s="835">
        <f>IF(WWWW[[#This Row],['#_of_affected_women_and_girls_receiving_a_sufficient_quantity_of_sanitary_pads]]&gt;WWWW[[#This Row],[Total PoP ]],WWWW[[#This Row],[Total PoP ]],WWWW[[#This Row],['#_of_affected_women_and_girls_receiving_a_sufficient_quantity_of_sanitary_pads]])</f>
        <v>0</v>
      </c>
      <c r="CH12" s="835">
        <f>IF(WWWW[[#This Row],['# People with access to soap]]&gt;WWWW[[#This Row],['# People with access to Sanity Pads]],WWWW[[#This Row],['# People with access to soap]],WWWW[[#This Row],['# People with access to Sanity Pads]])</f>
        <v>0</v>
      </c>
      <c r="CI12"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2" s="838">
        <f>IF(WWWW[[#This Row],[HRP3]]/WWWW[[#This Row],[Total PoP ]]&gt;100%,100%,WWWW[[#This Row],[HRP3]]/WWWW[[#This Row],[Total PoP ]])</f>
        <v>0</v>
      </c>
      <c r="CK12" s="834">
        <f>1-WWWW[[#This Row],[Hygiene Coverage%]]</f>
        <v>1</v>
      </c>
      <c r="CL12" s="830">
        <f>WWWW[[#This Row],['# people reached by regular dedicated hygiene promotion_5]]/WWWW[[#This Row],[Total PoP ]]</f>
        <v>0</v>
      </c>
      <c r="CM12" s="834">
        <f>IF(WWWW[[#This Row],['#_of_affected_households_receiving_a_sufficient_quantity_of_soap]]/WWWW[[#This Row],[Total HH]]&gt;1,1,WWWW[[#This Row],['#_of_affected_households_receiving_a_sufficient_quantity_of_soap]]/WWWW[[#This Row],[Total HH]])</f>
        <v>0</v>
      </c>
      <c r="CN12" s="455" t="str">
        <f>IF(WWWW[[#This Row],['#_students at TLS_CFS]]="","No","Yes")</f>
        <v>No</v>
      </c>
      <c r="CO12" s="452">
        <f>WWWW[[#This Row],[%_of_affected_people_surveyed_who_report_feeling_informed_about_the_different_WASH_services_available_to_them]]</f>
        <v>0</v>
      </c>
      <c r="CP1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2" s="500">
        <f>IF(WWWW[[#This Row],['#_PPL_accessed_water_in_TLS]]&gt;WWWW[[#This Row],['# students access to functioning school latrines_HRP5]],WWWW[[#This Row],['#_PPL_accessed_water_in_TLS]],WWWW[[#This Row],['# students access to functioning school latrines_HRP5]])</f>
        <v>200</v>
      </c>
      <c r="CR12" s="500">
        <f>IF(WWWW[[#This Row],['#_PPL_accessed_water_in_THF]]&gt;WWWW[[#This Row],['# people access to functioning latrines in THF_HRP6]],WWWW[[#This Row],['#_PPL_accessed_water_in_THF]],WWWW[[#This Row],['# people access to functioning latrines in THF_HRP6]])</f>
        <v>0</v>
      </c>
      <c r="CS12" s="826" t="str">
        <f>VLOOKUP(WWWW[[#This Row],[Site Name]],SiteDB6[[Site Name]:[CCCM Management]],6,FALSE)</f>
        <v>Yes</v>
      </c>
      <c r="CT12" s="826">
        <f>VLOOKUP(WWWW[[#This Row],[Site Name]],SiteDB6[[Site Name]:[CCCM Focal Agency]],7,FALSE)</f>
        <v>0</v>
      </c>
      <c r="CU12" s="826" t="str">
        <f>VLOOKUP(WWWW[[#This Row],[Site Name]],SiteDB6[[Site Name]:[Location Type 1]],9,FALSE)</f>
        <v>Camp</v>
      </c>
      <c r="CV12" s="826" t="str">
        <f>VLOOKUP(WWWW[[#This Row],[Site Name]],SiteDB6[[Site Name]:[Type of Accommodation]],10,FALSE)</f>
        <v>Planned Camp</v>
      </c>
      <c r="CW12" s="826" t="str">
        <f>VLOOKUP(WWWW[[#This Row],[Site Name]],SiteDB6[[Site Name]:[Ethnic or GCA/NGCA]],11,FALSE)</f>
        <v>Muslim</v>
      </c>
      <c r="CX12" s="826">
        <f>VLOOKUP(WWWW[[#This Row],[Site Name]],SiteDB6[[Site Name]:[Lat]],12,FALSE)</f>
        <v>20.181778000000001</v>
      </c>
      <c r="CY12" s="826">
        <f>VLOOKUP(WWWW[[#This Row],[Site Name]],SiteDB6[[Site Name]:[Long]],13,FALSE)</f>
        <v>92.823166999999998</v>
      </c>
      <c r="CZ12" s="826" t="str">
        <f>VLOOKUP(WWWW[[#This Row],[Site Name]],SiteDB6[[Site Name]:[Pcode]],3,FALSE)</f>
        <v>MMR012CMP042</v>
      </c>
      <c r="DA12" s="839" t="str">
        <f t="shared" si="0"/>
        <v>Covered</v>
      </c>
      <c r="DB12" s="477">
        <f>VLOOKUP(WWWW[[#This Row],[Site Name]],SiteDB6[[Site Name]:[PWD_Total]],22,FALSE)</f>
        <v>47</v>
      </c>
      <c r="DC12" s="477">
        <f>VLOOKUP(WWWW[[#This Row],[Site Name]],SiteDB6[[Site Name]:[PWD_Total]],23,FALSE)</f>
        <v>306</v>
      </c>
      <c r="DD12" s="477">
        <f>WWWW[[#This Row],['# of Male_People with disabilities]]+WWWW[[#This Row],['# of Female_People with disabilities]]</f>
        <v>353</v>
      </c>
      <c r="DE12" s="826"/>
      <c r="DF12" s="839"/>
      <c r="DG12" s="839"/>
      <c r="DH12" s="839"/>
      <c r="DI12" s="839">
        <f>VLOOKUP(WWWW[[#This Row],[Site Name]],SiteDB6[[Site Name]:[Pop
(CCCM as of Autust 2021)]],16,FALSE)</f>
        <v>392</v>
      </c>
      <c r="DJ12" s="839">
        <f>VLOOKUP(WWWW[[#This Row],[Site Name]],SiteDB6[[Site Name]:[Pop
(CCCM as of Autust 2021)]],17,FALSE)</f>
        <v>2455</v>
      </c>
    </row>
    <row r="13" spans="1:114" hidden="1">
      <c r="A13" s="824" t="s">
        <v>3144</v>
      </c>
      <c r="B13" s="824" t="s">
        <v>2270</v>
      </c>
      <c r="C13" s="825" t="s">
        <v>2270</v>
      </c>
      <c r="D13" s="825" t="s">
        <v>40</v>
      </c>
      <c r="E13" s="856" t="s">
        <v>293</v>
      </c>
      <c r="F13" s="825" t="s">
        <v>294</v>
      </c>
      <c r="G13" s="857" t="s">
        <v>43</v>
      </c>
      <c r="H13" s="825" t="s">
        <v>2272</v>
      </c>
      <c r="I13" s="827">
        <v>400</v>
      </c>
      <c r="J13" s="827">
        <v>2186</v>
      </c>
      <c r="K13" s="684">
        <f>WWWW[[#This Row],[Total PoP ]]/WWWW[[#This Row],[Total HH]]</f>
        <v>5.4649999999999999</v>
      </c>
      <c r="L13" s="828">
        <v>44197</v>
      </c>
      <c r="M13" s="829">
        <v>44592</v>
      </c>
      <c r="N13" s="827"/>
      <c r="O13" s="500">
        <v>24</v>
      </c>
      <c r="P13" s="827">
        <v>26</v>
      </c>
      <c r="Q13" s="500"/>
      <c r="R13" s="500"/>
      <c r="S13" s="827"/>
      <c r="T13" s="827"/>
      <c r="U13" s="827"/>
      <c r="V13" s="830"/>
      <c r="W13" s="827"/>
      <c r="X13" s="830"/>
      <c r="Y13" s="827"/>
      <c r="Z13" s="500"/>
      <c r="AA13" s="500"/>
      <c r="AB13" s="831"/>
      <c r="AC13" s="827">
        <v>100</v>
      </c>
      <c r="AD13" s="827">
        <v>104</v>
      </c>
      <c r="AE13" s="827"/>
      <c r="AF13" s="827"/>
      <c r="AG13" s="830"/>
      <c r="AH13" s="830"/>
      <c r="AI13" s="830"/>
      <c r="AJ13" s="827">
        <v>8</v>
      </c>
      <c r="AK13" s="827">
        <v>32</v>
      </c>
      <c r="AL13" s="827">
        <v>3</v>
      </c>
      <c r="AM13" s="500"/>
      <c r="AN13" s="827" t="s">
        <v>41</v>
      </c>
      <c r="AO13" s="832"/>
      <c r="AP13" s="827"/>
      <c r="AQ13" s="827"/>
      <c r="AR13" s="827"/>
      <c r="AS13" s="827"/>
      <c r="AT13" s="827"/>
      <c r="AU13" s="827"/>
      <c r="AV13" s="450"/>
      <c r="AW13" s="830"/>
      <c r="AX13" s="451">
        <v>0</v>
      </c>
      <c r="AY13" s="840"/>
      <c r="AZ13" s="450"/>
      <c r="BA13" s="450"/>
      <c r="BB13" s="450"/>
      <c r="BC13" s="450"/>
      <c r="BD13" s="450"/>
      <c r="BE13" s="500"/>
      <c r="BF13" s="500"/>
      <c r="BG13" s="500"/>
      <c r="BH13" s="850"/>
      <c r="BI13" s="850"/>
      <c r="BJ13" s="847"/>
      <c r="BK13" s="500"/>
      <c r="BL13" s="834" t="str">
        <f>IF(WWWW[[#This Row],['#_Water samples_Tested_at_water_source]]="","no test","Tested")</f>
        <v>no test</v>
      </c>
      <c r="BM13" s="834" t="str">
        <f>IF(WWWW[[#This Row],['#_Water samples_Tested_at_HH]]="","no test","Tested")</f>
        <v>no test</v>
      </c>
      <c r="BN13" s="835" t="str">
        <f>IF(AND(WWWW[[#This Row],[Water_testing_at source]]="no test",WWWW[[#This Row],[Water_testing_at HH]]="no test"),"No Test","Tested")</f>
        <v>No Test</v>
      </c>
      <c r="BO13"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3" s="836">
        <f>WWWW[[#This Row],[% HRP1]]*WWWW[[#This Row],[Total PoP ]]</f>
        <v>2186</v>
      </c>
      <c r="BQ13" s="837">
        <f>WWWW[[#This Row],[HRP1]]/500</f>
        <v>4.3719999999999999</v>
      </c>
      <c r="BR13" s="838">
        <f>1-WWWW[[#This Row],[% HRP1]]</f>
        <v>0</v>
      </c>
      <c r="BS13" s="837">
        <f>WWWW[[#This Row],[%equitable and continuous access to sufficient quantity of safe drinking and domestic water''s GAP]]*WWWW[[#This Row],[Total PoP ]]</f>
        <v>0</v>
      </c>
      <c r="BT13" s="451">
        <f>ROUND(IF(WWWW[[#This Row],[Total PoP ]]&lt;500,1,WWWW[[#This Row],[Total PoP ]]/500),0)</f>
        <v>4</v>
      </c>
      <c r="BU13" s="835">
        <f>IF(WWWW[[#This Row],[Total required water points]]-WWWW[[#This Row],['#Water points coverage]]&lt;0,0,WWWW[[#This Row],[Total required water points]]-WWWW[[#This Row],['#Water points coverage]])</f>
        <v>0</v>
      </c>
      <c r="BV13" s="452">
        <f>WWWW[[#This Row],[HRP2]]/WWWW[[#This Row],[Total PoP ]]</f>
        <v>1</v>
      </c>
      <c r="BW13"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2186</v>
      </c>
      <c r="BX13" s="455">
        <f>IF(WWWW[[#This Row],['#_Functional_adult_latrines]]="","",WWWW[[#This Row],[Total PoP ]]/WWWW[[#This Row],['#_Functional_adult_latrines]])</f>
        <v>21.86</v>
      </c>
      <c r="BY13" s="835">
        <f>WWWW[[#This Row],['#_of_latrines_in_TLS/CFS]]*50</f>
        <v>150</v>
      </c>
      <c r="BZ13" s="451">
        <f>IF(WWWW[[#This Row],['#_of_latrines_in_THF]]="",0,WWWW[[#This Row],['#_of_latrines_in_THF]]*50)</f>
        <v>0</v>
      </c>
      <c r="CA13" s="835">
        <f>ROUND(IF(WWWW[[#This Row],[Location Type 1]]="camp",WWWW[[#This Row],[Total PoP ]]/20),0)</f>
        <v>109</v>
      </c>
      <c r="CB13" s="835">
        <f>IF(WWWW[[#This Row],[Total required Latrines]]-WWWW[[#This Row],['#_Existing_latrines]]&lt;0,0,WWWW[[#This Row],[Total required Latrines]]-WWWW[[#This Row],['#_Existing_latrines]])</f>
        <v>5</v>
      </c>
      <c r="CC13" s="838">
        <f>1-WWWW[[#This Row],[% HRP2]]</f>
        <v>0</v>
      </c>
      <c r="CD13" s="834">
        <f>IF(WWWW[[#This Row],['#_Existing_latrines]]="","NA",(WWWW[[#This Row],['#_Existing_latrines]]-WWWW[[#This Row],['#_Functional_adult_latrines]])/WWWW[[#This Row],['#_Existing_latrines]])</f>
        <v>3.8461538461538464E-2</v>
      </c>
      <c r="CE13"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3"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3" s="835">
        <f>IF(WWWW[[#This Row],['#_of_affected_women_and_girls_receiving_a_sufficient_quantity_of_sanitary_pads]]&gt;WWWW[[#This Row],[Total PoP ]],WWWW[[#This Row],[Total PoP ]],WWWW[[#This Row],['#_of_affected_women_and_girls_receiving_a_sufficient_quantity_of_sanitary_pads]])</f>
        <v>0</v>
      </c>
      <c r="CH13" s="835">
        <f>IF(WWWW[[#This Row],['# People with access to soap]]&gt;WWWW[[#This Row],['# People with access to Sanity Pads]],WWWW[[#This Row],['# People with access to soap]],WWWW[[#This Row],['# People with access to Sanity Pads]])</f>
        <v>0</v>
      </c>
      <c r="CI13"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3" s="838">
        <f>IF(WWWW[[#This Row],[HRP3]]/WWWW[[#This Row],[Total PoP ]]&gt;100%,100%,WWWW[[#This Row],[HRP3]]/WWWW[[#This Row],[Total PoP ]])</f>
        <v>0</v>
      </c>
      <c r="CK13" s="834">
        <f>1-WWWW[[#This Row],[Hygiene Coverage%]]</f>
        <v>1</v>
      </c>
      <c r="CL13" s="830">
        <f>WWWW[[#This Row],['# people reached by regular dedicated hygiene promotion_5]]/WWWW[[#This Row],[Total PoP ]]</f>
        <v>0</v>
      </c>
      <c r="CM13" s="834">
        <f>IF(WWWW[[#This Row],['#_of_affected_households_receiving_a_sufficient_quantity_of_soap]]/WWWW[[#This Row],[Total HH]]&gt;1,1,WWWW[[#This Row],['#_of_affected_households_receiving_a_sufficient_quantity_of_soap]]/WWWW[[#This Row],[Total HH]])</f>
        <v>0</v>
      </c>
      <c r="CN13" s="455" t="str">
        <f>IF(WWWW[[#This Row],['#_students at TLS_CFS]]="","No","Yes")</f>
        <v>No</v>
      </c>
      <c r="CO13" s="452">
        <f>WWWW[[#This Row],[%_of_affected_people_surveyed_who_report_feeling_informed_about_the_different_WASH_services_available_to_them]]</f>
        <v>0</v>
      </c>
      <c r="CP1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3" s="500">
        <f>IF(WWWW[[#This Row],['#_PPL_accessed_water_in_TLS]]&gt;WWWW[[#This Row],['# students access to functioning school latrines_HRP5]],WWWW[[#This Row],['#_PPL_accessed_water_in_TLS]],WWWW[[#This Row],['# students access to functioning school latrines_HRP5]])</f>
        <v>150</v>
      </c>
      <c r="CR13" s="500">
        <f>IF(WWWW[[#This Row],['#_PPL_accessed_water_in_THF]]&gt;WWWW[[#This Row],['# people access to functioning latrines in THF_HRP6]],WWWW[[#This Row],['#_PPL_accessed_water_in_THF]],WWWW[[#This Row],['# people access to functioning latrines in THF_HRP6]])</f>
        <v>0</v>
      </c>
      <c r="CS13" s="826">
        <f>VLOOKUP(WWWW[[#This Row],[Site Name]],SiteDB6[[Site Name]:[CCCM Management]],6,FALSE)</f>
        <v>0</v>
      </c>
      <c r="CT13" s="826">
        <f>VLOOKUP(WWWW[[#This Row],[Site Name]],SiteDB6[[Site Name]:[CCCM Focal Agency]],7,FALSE)</f>
        <v>0</v>
      </c>
      <c r="CU13" s="826" t="str">
        <f>VLOOKUP(WWWW[[#This Row],[Site Name]],SiteDB6[[Site Name]:[Location Type 1]],9,FALSE)</f>
        <v>Camp</v>
      </c>
      <c r="CV13" s="826" t="str">
        <f>VLOOKUP(WWWW[[#This Row],[Site Name]],SiteDB6[[Site Name]:[Type of Accommodation]],10,FALSE)</f>
        <v>Planned Camp</v>
      </c>
      <c r="CW13" s="826" t="str">
        <f>VLOOKUP(WWWW[[#This Row],[Site Name]],SiteDB6[[Site Name]:[Ethnic or GCA/NGCA]],11,FALSE)</f>
        <v>Muslim</v>
      </c>
      <c r="CX13" s="826">
        <f>VLOOKUP(WWWW[[#This Row],[Site Name]],SiteDB6[[Site Name]:[Lat]],12,FALSE)</f>
        <v>20.180194</v>
      </c>
      <c r="CY13" s="826">
        <f>VLOOKUP(WWWW[[#This Row],[Site Name]],SiteDB6[[Site Name]:[Long]],13,FALSE)</f>
        <v>92.816638999999995</v>
      </c>
      <c r="CZ13" s="826" t="str">
        <f>VLOOKUP(WWWW[[#This Row],[Site Name]],SiteDB6[[Site Name]:[Pcode]],3,FALSE)</f>
        <v>MMR012CMP042</v>
      </c>
      <c r="DA13" s="839" t="str">
        <f t="shared" si="0"/>
        <v>Covered</v>
      </c>
      <c r="DB13" s="477">
        <f>VLOOKUP(WWWW[[#This Row],[Site Name]],SiteDB6[[Site Name]:[PWD_Total]],22,FALSE)</f>
        <v>70</v>
      </c>
      <c r="DC13" s="477">
        <f>VLOOKUP(WWWW[[#This Row],[Site Name]],SiteDB6[[Site Name]:[PWD_Total]],23,FALSE)</f>
        <v>241</v>
      </c>
      <c r="DD13" s="477">
        <f>WWWW[[#This Row],['# of Male_People with disabilities]]+WWWW[[#This Row],['# of Female_People with disabilities]]</f>
        <v>311</v>
      </c>
      <c r="DE13" s="826"/>
      <c r="DF13" s="839"/>
      <c r="DG13" s="839"/>
      <c r="DH13" s="839"/>
      <c r="DI13" s="839">
        <f>VLOOKUP(WWWW[[#This Row],[Site Name]],SiteDB6[[Site Name]:[Pop
(CCCM as of Autust 2021)]],16,FALSE)</f>
        <v>400</v>
      </c>
      <c r="DJ13" s="839">
        <f>VLOOKUP(WWWW[[#This Row],[Site Name]],SiteDB6[[Site Name]:[Pop
(CCCM as of Autust 2021)]],17,FALSE)</f>
        <v>2228</v>
      </c>
    </row>
    <row r="14" spans="1:114" hidden="1">
      <c r="A14" s="824" t="s">
        <v>3144</v>
      </c>
      <c r="B14" s="855" t="s">
        <v>2256</v>
      </c>
      <c r="C14" s="856" t="s">
        <v>2256</v>
      </c>
      <c r="D14" s="856" t="s">
        <v>230</v>
      </c>
      <c r="E14" s="856" t="s">
        <v>293</v>
      </c>
      <c r="F14" s="856" t="s">
        <v>356</v>
      </c>
      <c r="G14" s="857" t="s">
        <v>43</v>
      </c>
      <c r="H14" s="856" t="s">
        <v>367</v>
      </c>
      <c r="I14" s="858">
        <v>372</v>
      </c>
      <c r="J14" s="858">
        <v>1067</v>
      </c>
      <c r="K14" s="684">
        <f>WWWW[[#This Row],[Total PoP ]]/WWWW[[#This Row],[Total HH]]</f>
        <v>2.868279569892473</v>
      </c>
      <c r="L14" s="859">
        <v>44378</v>
      </c>
      <c r="M14" s="860">
        <v>44742</v>
      </c>
      <c r="N14" s="858"/>
      <c r="O14" s="500"/>
      <c r="P14" s="858"/>
      <c r="Q14" s="500">
        <v>14</v>
      </c>
      <c r="R14" s="500">
        <v>19</v>
      </c>
      <c r="S14" s="858"/>
      <c r="T14" s="858">
        <v>1067</v>
      </c>
      <c r="U14" s="858">
        <v>36</v>
      </c>
      <c r="V14" s="861">
        <v>1</v>
      </c>
      <c r="W14" s="858">
        <v>84</v>
      </c>
      <c r="X14" s="861">
        <v>0.99</v>
      </c>
      <c r="Y14" s="858">
        <v>376</v>
      </c>
      <c r="Z14" s="500">
        <v>197</v>
      </c>
      <c r="AA14" s="500">
        <v>0</v>
      </c>
      <c r="AB14" s="862" t="s">
        <v>3150</v>
      </c>
      <c r="AC14" s="858">
        <v>94</v>
      </c>
      <c r="AD14" s="858">
        <v>94</v>
      </c>
      <c r="AE14" s="858">
        <v>23</v>
      </c>
      <c r="AF14" s="858">
        <v>94</v>
      </c>
      <c r="AG14" s="861">
        <v>1</v>
      </c>
      <c r="AH14" s="861">
        <v>1</v>
      </c>
      <c r="AI14" s="861">
        <v>1</v>
      </c>
      <c r="AJ14" s="858"/>
      <c r="AK14" s="858"/>
      <c r="AL14" s="858">
        <v>8</v>
      </c>
      <c r="AM14" s="500"/>
      <c r="AN14" s="858" t="s">
        <v>41</v>
      </c>
      <c r="AO14" s="863" t="s">
        <v>3151</v>
      </c>
      <c r="AP14" s="858">
        <v>124</v>
      </c>
      <c r="AQ14" s="858">
        <v>199</v>
      </c>
      <c r="AR14" s="858">
        <v>33</v>
      </c>
      <c r="AS14" s="858">
        <v>41</v>
      </c>
      <c r="AT14" s="858">
        <v>376</v>
      </c>
      <c r="AU14" s="858">
        <v>511</v>
      </c>
      <c r="AV14" s="450">
        <v>0</v>
      </c>
      <c r="AW14" s="861">
        <v>0.95</v>
      </c>
      <c r="AX14" s="451">
        <v>8</v>
      </c>
      <c r="AY14" s="864"/>
      <c r="AZ14" s="450"/>
      <c r="BA14" s="450"/>
      <c r="BB14" s="450"/>
      <c r="BC14" s="450"/>
      <c r="BD14" s="450">
        <v>0</v>
      </c>
      <c r="BE14" s="500"/>
      <c r="BF14" s="500"/>
      <c r="BG14" s="500"/>
      <c r="BH14" s="500"/>
      <c r="BI14" s="500"/>
      <c r="BJ14" s="500"/>
      <c r="BK14" s="500"/>
      <c r="BL14" s="865" t="str">
        <f>IF(WWWW[[#This Row],['#_Water samples_Tested_at_water_source]]="","no test","Tested")</f>
        <v>Tested</v>
      </c>
      <c r="BM14" s="865" t="str">
        <f>IF(WWWW[[#This Row],['#_Water samples_Tested_at_HH]]="","no test","Tested")</f>
        <v>Tested</v>
      </c>
      <c r="BN14" s="866" t="str">
        <f>IF(AND(WWWW[[#This Row],[Water_testing_at source]]="no test",WWWW[[#This Row],[Water_testing_at HH]]="no test"),"No Test","Tested")</f>
        <v>Tested</v>
      </c>
      <c r="BO14"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4" s="867">
        <f>WWWW[[#This Row],[% HRP1]]*WWWW[[#This Row],[Total PoP ]]</f>
        <v>1067</v>
      </c>
      <c r="BQ14" s="868">
        <f>WWWW[[#This Row],[HRP1]]/500</f>
        <v>2.1339999999999999</v>
      </c>
      <c r="BR14" s="869">
        <f>1-WWWW[[#This Row],[% HRP1]]</f>
        <v>0</v>
      </c>
      <c r="BS14" s="868">
        <f>WWWW[[#This Row],[%equitable and continuous access to sufficient quantity of safe drinking and domestic water''s GAP]]*WWWW[[#This Row],[Total PoP ]]</f>
        <v>0</v>
      </c>
      <c r="BT14" s="451">
        <f>ROUND(IF(WWWW[[#This Row],[Total PoP ]]&lt;500,1,WWWW[[#This Row],[Total PoP ]]/500),0)</f>
        <v>2</v>
      </c>
      <c r="BU14" s="866">
        <f>IF(WWWW[[#This Row],[Total required water points]]-WWWW[[#This Row],['#Water points coverage]]&lt;0,0,WWWW[[#This Row],[Total required water points]]-WWWW[[#This Row],['#Water points coverage]])</f>
        <v>0</v>
      </c>
      <c r="BV14" s="452">
        <f>WWWW[[#This Row],[HRP2]]/WWWW[[#This Row],[Total PoP ]]</f>
        <v>1</v>
      </c>
      <c r="BW14"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1067</v>
      </c>
      <c r="BX14" s="455">
        <f>IF(WWWW[[#This Row],['#_Functional_adult_latrines]]="","",WWWW[[#This Row],[Total PoP ]]/WWWW[[#This Row],['#_Functional_adult_latrines]])</f>
        <v>11.351063829787234</v>
      </c>
      <c r="BY14" s="866">
        <f>WWWW[[#This Row],['#_of_latrines_in_TLS/CFS]]*50</f>
        <v>400</v>
      </c>
      <c r="BZ14" s="451">
        <f>IF(WWWW[[#This Row],['#_of_latrines_in_THF]]="",0,WWWW[[#This Row],['#_of_latrines_in_THF]]*50)</f>
        <v>0</v>
      </c>
      <c r="CA14" s="866">
        <f>ROUND(IF(WWWW[[#This Row],[Location Type 1]]="camp",WWWW[[#This Row],[Total PoP ]]/20),0)</f>
        <v>53</v>
      </c>
      <c r="CB14" s="866">
        <f>IF(WWWW[[#This Row],[Total required Latrines]]-WWWW[[#This Row],['#_Existing_latrines]]&lt;0,0,WWWW[[#This Row],[Total required Latrines]]-WWWW[[#This Row],['#_Existing_latrines]])</f>
        <v>0</v>
      </c>
      <c r="CC14" s="869">
        <f>1-WWWW[[#This Row],[% HRP2]]</f>
        <v>0</v>
      </c>
      <c r="CD14" s="865">
        <f>IF(WWWW[[#This Row],['#_Existing_latrines]]="","NA",(WWWW[[#This Row],['#_Existing_latrines]]-WWWW[[#This Row],['#_Functional_adult_latrines]])/WWWW[[#This Row],['#_Existing_latrines]])</f>
        <v>0</v>
      </c>
      <c r="CE14"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397</v>
      </c>
      <c r="CF14"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1067</v>
      </c>
      <c r="CG14" s="866">
        <f>IF(WWWW[[#This Row],['#_of_affected_women_and_girls_receiving_a_sufficient_quantity_of_sanitary_pads]]&gt;WWWW[[#This Row],[Total PoP ]],WWWW[[#This Row],[Total PoP ]],WWWW[[#This Row],['#_of_affected_women_and_girls_receiving_a_sufficient_quantity_of_sanitary_pads]])</f>
        <v>511</v>
      </c>
      <c r="CH14" s="866">
        <f>IF(WWWW[[#This Row],['# People with access to soap]]&gt;WWWW[[#This Row],['# People with access to Sanity Pads]],WWWW[[#This Row],['# People with access to soap]],WWWW[[#This Row],['# People with access to Sanity Pads]])</f>
        <v>1067</v>
      </c>
      <c r="CI14" s="866">
        <f>IF(WWWW[[#This Row],['# people reached by regular dedicated hygiene promotion_5]]&gt;WWWW[[#This Row],['# People received regular supply of hygiene items_6]],WWWW[[#This Row],['# people reached by regular dedicated hygiene promotion_5]],WWWW[[#This Row],['# People received regular supply of hygiene items_6]])</f>
        <v>1067</v>
      </c>
      <c r="CJ14" s="869">
        <f>IF(WWWW[[#This Row],[HRP3]]/WWWW[[#This Row],[Total PoP ]]&gt;100%,100%,WWWW[[#This Row],[HRP3]]/WWWW[[#This Row],[Total PoP ]])</f>
        <v>1</v>
      </c>
      <c r="CK14" s="865">
        <f>1-WWWW[[#This Row],[Hygiene Coverage%]]</f>
        <v>0</v>
      </c>
      <c r="CL14" s="861">
        <f>WWWW[[#This Row],['# people reached by regular dedicated hygiene promotion_5]]/WWWW[[#This Row],[Total PoP ]]</f>
        <v>0.37207122774133083</v>
      </c>
      <c r="CM14" s="865">
        <f>IF(WWWW[[#This Row],['#_of_affected_households_receiving_a_sufficient_quantity_of_soap]]/WWWW[[#This Row],[Total HH]]&gt;1,1,WWWW[[#This Row],['#_of_affected_households_receiving_a_sufficient_quantity_of_soap]]/WWWW[[#This Row],[Total HH]])</f>
        <v>1</v>
      </c>
      <c r="CN14" s="455" t="str">
        <f>IF(WWWW[[#This Row],['#_students at TLS_CFS]]="","No","Yes")</f>
        <v>No</v>
      </c>
      <c r="CO14" s="452">
        <f>WWWW[[#This Row],[%_of_affected_people_surveyed_who_report_feeling_informed_about_the_different_WASH_services_available_to_them]]</f>
        <v>0</v>
      </c>
      <c r="CP1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4" s="500">
        <f>IF(WWWW[[#This Row],['#_PPL_accessed_water_in_TLS]]&gt;WWWW[[#This Row],['# students access to functioning school latrines_HRP5]],WWWW[[#This Row],['#_PPL_accessed_water_in_TLS]],WWWW[[#This Row],['# students access to functioning school latrines_HRP5]])</f>
        <v>400</v>
      </c>
      <c r="CR14" s="500">
        <f>IF(WWWW[[#This Row],['#_PPL_accessed_water_in_THF]]&gt;WWWW[[#This Row],['# people access to functioning latrines in THF_HRP6]],WWWW[[#This Row],['#_PPL_accessed_water_in_THF]],WWWW[[#This Row],['# people access to functioning latrines in THF_HRP6]])</f>
        <v>0</v>
      </c>
      <c r="CS14" s="857" t="str">
        <f>VLOOKUP(WWWW[[#This Row],[Site Name]],SiteDB6[[Site Name]:[CCCM Management]],6,FALSE)</f>
        <v>Yes</v>
      </c>
      <c r="CT14" s="857" t="str">
        <f>VLOOKUP(WWWW[[#This Row],[Site Name]],SiteDB6[[Site Name]:[CCCM Focal Agency]],7,FALSE)</f>
        <v>UNHCR</v>
      </c>
      <c r="CU14" s="857" t="str">
        <f>VLOOKUP(WWWW[[#This Row],[Site Name]],SiteDB6[[Site Name]:[Location Type 1]],9,FALSE)</f>
        <v>Camp</v>
      </c>
      <c r="CV14" s="857" t="str">
        <f>VLOOKUP(WWWW[[#This Row],[Site Name]],SiteDB6[[Site Name]:[Type of Accommodation]],10,FALSE)</f>
        <v>Planned Camp</v>
      </c>
      <c r="CW14" s="857" t="str">
        <f>VLOOKUP(WWWW[[#This Row],[Site Name]],SiteDB6[[Site Name]:[Ethnic or GCA/NGCA]],11,FALSE)</f>
        <v>Muslim</v>
      </c>
      <c r="CX14" s="857">
        <f>VLOOKUP(WWWW[[#This Row],[Site Name]],SiteDB6[[Site Name]:[Lat]],12,FALSE)</f>
        <v>19.424576999999999</v>
      </c>
      <c r="CY14" s="857">
        <f>VLOOKUP(WWWW[[#This Row],[Site Name]],SiteDB6[[Site Name]:[Long]],13,FALSE)</f>
        <v>93.512326000000002</v>
      </c>
      <c r="CZ14" s="857" t="str">
        <f>VLOOKUP(WWWW[[#This Row],[Site Name]],SiteDB6[[Site Name]:[Pcode]],3,FALSE)</f>
        <v>MMR012CMP035</v>
      </c>
      <c r="DA14" s="870" t="str">
        <f t="shared" si="0"/>
        <v>Covered</v>
      </c>
      <c r="DB14" s="477">
        <f>VLOOKUP(WWWW[[#This Row],[Site Name]],SiteDB6[[Site Name]:[PWD_Total]],22,FALSE)</f>
        <v>0</v>
      </c>
      <c r="DC14" s="477">
        <f>VLOOKUP(WWWW[[#This Row],[Site Name]],SiteDB6[[Site Name]:[PWD_Total]],23,FALSE)</f>
        <v>0</v>
      </c>
      <c r="DD14" s="477">
        <f>WWWW[[#This Row],['# of Male_People with disabilities]]+WWWW[[#This Row],['# of Female_People with disabilities]]</f>
        <v>0</v>
      </c>
      <c r="DE14" s="857"/>
      <c r="DF14" s="870"/>
      <c r="DG14" s="870"/>
      <c r="DH14" s="870"/>
      <c r="DI14" s="870">
        <f>VLOOKUP(WWWW[[#This Row],[Site Name]],SiteDB6[[Site Name]:[Pop
(CCCM as of Autust 2021)]],16,FALSE)</f>
        <v>334</v>
      </c>
      <c r="DJ14" s="870">
        <f>VLOOKUP(WWWW[[#This Row],[Site Name]],SiteDB6[[Site Name]:[Pop
(CCCM as of Autust 2021)]],17,FALSE)</f>
        <v>1001</v>
      </c>
    </row>
    <row r="15" spans="1:114" hidden="1">
      <c r="A15" s="824" t="s">
        <v>3144</v>
      </c>
      <c r="B15" s="855" t="s">
        <v>265</v>
      </c>
      <c r="C15" s="856" t="s">
        <v>265</v>
      </c>
      <c r="D15" s="856" t="s">
        <v>2952</v>
      </c>
      <c r="E15" s="856" t="s">
        <v>293</v>
      </c>
      <c r="F15" s="856" t="s">
        <v>401</v>
      </c>
      <c r="G15" s="857" t="s">
        <v>43</v>
      </c>
      <c r="H15" s="856" t="s">
        <v>409</v>
      </c>
      <c r="I15" s="858">
        <v>1387</v>
      </c>
      <c r="J15" s="858">
        <v>6674</v>
      </c>
      <c r="K15" s="684">
        <f>WWWW[[#This Row],[Total PoP ]]/WWWW[[#This Row],[Total HH]]</f>
        <v>4.8118240807498198</v>
      </c>
      <c r="L15" s="859">
        <v>43445</v>
      </c>
      <c r="M15" s="860">
        <v>44620</v>
      </c>
      <c r="N15" s="858"/>
      <c r="O15" s="500"/>
      <c r="P15" s="858"/>
      <c r="Q15" s="500">
        <v>36</v>
      </c>
      <c r="R15" s="500">
        <v>36</v>
      </c>
      <c r="S15" s="858"/>
      <c r="T15" s="858">
        <v>6674</v>
      </c>
      <c r="U15" s="858"/>
      <c r="V15" s="861"/>
      <c r="W15" s="858"/>
      <c r="X15" s="861"/>
      <c r="Y15" s="858"/>
      <c r="Z15" s="500"/>
      <c r="AA15" s="500"/>
      <c r="AB15" s="862"/>
      <c r="AC15" s="858">
        <v>212</v>
      </c>
      <c r="AD15" s="858">
        <v>238</v>
      </c>
      <c r="AE15" s="858"/>
      <c r="AF15" s="858"/>
      <c r="AG15" s="861">
        <v>0.99</v>
      </c>
      <c r="AH15" s="861">
        <v>0.98</v>
      </c>
      <c r="AI15" s="861">
        <v>0.98</v>
      </c>
      <c r="AJ15" s="858">
        <v>18</v>
      </c>
      <c r="AK15" s="858">
        <v>69</v>
      </c>
      <c r="AL15" s="858"/>
      <c r="AM15" s="500">
        <v>3</v>
      </c>
      <c r="AN15" s="858" t="s">
        <v>41</v>
      </c>
      <c r="AO15" s="863" t="s">
        <v>3152</v>
      </c>
      <c r="AP15" s="858">
        <v>1375</v>
      </c>
      <c r="AQ15" s="858">
        <v>1497</v>
      </c>
      <c r="AR15" s="858">
        <v>1953</v>
      </c>
      <c r="AS15" s="858">
        <v>1849</v>
      </c>
      <c r="AT15" s="858">
        <v>1387</v>
      </c>
      <c r="AU15" s="858">
        <v>2774</v>
      </c>
      <c r="AV15" s="450"/>
      <c r="AW15" s="861">
        <v>0.79</v>
      </c>
      <c r="AX15" s="451"/>
      <c r="AY15" s="864" t="s">
        <v>3155</v>
      </c>
      <c r="AZ15" s="450">
        <v>0.83</v>
      </c>
      <c r="BA15" s="450">
        <v>0.99</v>
      </c>
      <c r="BB15" s="450">
        <v>0.97</v>
      </c>
      <c r="BC15" s="450">
        <v>1</v>
      </c>
      <c r="BD15" s="450"/>
      <c r="BE15" s="500"/>
      <c r="BF15" s="500"/>
      <c r="BG15" s="500"/>
      <c r="BH15" s="500"/>
      <c r="BI15" s="500"/>
      <c r="BJ15" s="500"/>
      <c r="BK15" s="500"/>
      <c r="BL15" s="865" t="str">
        <f>IF(WWWW[[#This Row],['#_Water samples_Tested_at_water_source]]="","no test","Tested")</f>
        <v>no test</v>
      </c>
      <c r="BM15" s="865" t="str">
        <f>IF(WWWW[[#This Row],['#_Water samples_Tested_at_HH]]="","no test","Tested")</f>
        <v>no test</v>
      </c>
      <c r="BN15" s="866" t="str">
        <f>IF(AND(WWWW[[#This Row],[Water_testing_at source]]="no test",WWWW[[#This Row],[Water_testing_at HH]]="no test"),"No Test","Tested")</f>
        <v>No Test</v>
      </c>
      <c r="BO15"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5" s="867">
        <f>WWWW[[#This Row],[% HRP1]]*WWWW[[#This Row],[Total PoP ]]</f>
        <v>6674</v>
      </c>
      <c r="BQ15" s="868">
        <f>WWWW[[#This Row],[HRP1]]/500</f>
        <v>13.348000000000001</v>
      </c>
      <c r="BR15" s="869">
        <f>1-WWWW[[#This Row],[% HRP1]]</f>
        <v>0</v>
      </c>
      <c r="BS15" s="868">
        <f>WWWW[[#This Row],[%equitable and continuous access to sufficient quantity of safe drinking and domestic water''s GAP]]*WWWW[[#This Row],[Total PoP ]]</f>
        <v>0</v>
      </c>
      <c r="BT15" s="451">
        <f>ROUND(IF(WWWW[[#This Row],[Total PoP ]]&lt;500,1,WWWW[[#This Row],[Total PoP ]]/500),0)</f>
        <v>13</v>
      </c>
      <c r="BU15" s="866">
        <f>IF(WWWW[[#This Row],[Total required water points]]-WWWW[[#This Row],['#Water points coverage]]&lt;0,0,WWWW[[#This Row],[Total required water points]]-WWWW[[#This Row],['#Water points coverage]])</f>
        <v>0</v>
      </c>
      <c r="BV15" s="452">
        <f>WWWW[[#This Row],[HRP2]]/WWWW[[#This Row],[Total PoP ]]</f>
        <v>0.69958046149235842</v>
      </c>
      <c r="BW15"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4669</v>
      </c>
      <c r="BX15" s="455">
        <f>IF(WWWW[[#This Row],['#_Functional_adult_latrines]]="","",WWWW[[#This Row],[Total PoP ]]/WWWW[[#This Row],['#_Functional_adult_latrines]])</f>
        <v>31.481132075471699</v>
      </c>
      <c r="BY15" s="866">
        <f>WWWW[[#This Row],['#_of_latrines_in_TLS/CFS]]*50</f>
        <v>0</v>
      </c>
      <c r="BZ15" s="451">
        <f>IF(WWWW[[#This Row],['#_of_latrines_in_THF]]="",0,WWWW[[#This Row],['#_of_latrines_in_THF]]*50)</f>
        <v>150</v>
      </c>
      <c r="CA15" s="866">
        <f>ROUND(IF(WWWW[[#This Row],[Location Type 1]]="camp",WWWW[[#This Row],[Total PoP ]]/20),0)</f>
        <v>334</v>
      </c>
      <c r="CB15" s="866">
        <f>IF(WWWW[[#This Row],[Total required Latrines]]-WWWW[[#This Row],['#_Existing_latrines]]&lt;0,0,WWWW[[#This Row],[Total required Latrines]]-WWWW[[#This Row],['#_Existing_latrines]])</f>
        <v>96</v>
      </c>
      <c r="CC15" s="869">
        <f>1-WWWW[[#This Row],[% HRP2]]</f>
        <v>0.30041953850764158</v>
      </c>
      <c r="CD15" s="865">
        <f>IF(WWWW[[#This Row],['#_Existing_latrines]]="","NA",(WWWW[[#This Row],['#_Existing_latrines]]-WWWW[[#This Row],['#_Functional_adult_latrines]])/WWWW[[#This Row],['#_Existing_latrines]])</f>
        <v>0.1092436974789916</v>
      </c>
      <c r="CE15"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6674</v>
      </c>
      <c r="CF15"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6674</v>
      </c>
      <c r="CG15" s="866">
        <f>IF(WWWW[[#This Row],['#_of_affected_women_and_girls_receiving_a_sufficient_quantity_of_sanitary_pads]]&gt;WWWW[[#This Row],[Total PoP ]],WWWW[[#This Row],[Total PoP ]],WWWW[[#This Row],['#_of_affected_women_and_girls_receiving_a_sufficient_quantity_of_sanitary_pads]])</f>
        <v>2774</v>
      </c>
      <c r="CH15" s="866">
        <f>IF(WWWW[[#This Row],['# People with access to soap]]&gt;WWWW[[#This Row],['# People with access to Sanity Pads]],WWWW[[#This Row],['# People with access to soap]],WWWW[[#This Row],['# People with access to Sanity Pads]])</f>
        <v>6674</v>
      </c>
      <c r="CI15" s="866">
        <f>IF(WWWW[[#This Row],['# people reached by regular dedicated hygiene promotion_5]]&gt;WWWW[[#This Row],['# People received regular supply of hygiene items_6]],WWWW[[#This Row],['# people reached by regular dedicated hygiene promotion_5]],WWWW[[#This Row],['# People received regular supply of hygiene items_6]])</f>
        <v>6674</v>
      </c>
      <c r="CJ15" s="869">
        <f>IF(WWWW[[#This Row],[HRP3]]/WWWW[[#This Row],[Total PoP ]]&gt;100%,100%,WWWW[[#This Row],[HRP3]]/WWWW[[#This Row],[Total PoP ]])</f>
        <v>1</v>
      </c>
      <c r="CK15" s="865">
        <f>1-WWWW[[#This Row],[Hygiene Coverage%]]</f>
        <v>0</v>
      </c>
      <c r="CL15" s="861">
        <f>WWWW[[#This Row],['# people reached by regular dedicated hygiene promotion_5]]/WWWW[[#This Row],[Total PoP ]]</f>
        <v>1</v>
      </c>
      <c r="CM15" s="865">
        <f>IF(WWWW[[#This Row],['#_of_affected_households_receiving_a_sufficient_quantity_of_soap]]/WWWW[[#This Row],[Total HH]]&gt;1,1,WWWW[[#This Row],['#_of_affected_households_receiving_a_sufficient_quantity_of_soap]]/WWWW[[#This Row],[Total HH]])</f>
        <v>1</v>
      </c>
      <c r="CN15" s="455" t="str">
        <f>IF(WWWW[[#This Row],['#_students at TLS_CFS]]="","No","Yes")</f>
        <v>No</v>
      </c>
      <c r="CO15" s="452">
        <f>WWWW[[#This Row],[%_of_affected_people_surveyed_who_report_feeling_informed_about_the_different_WASH_services_available_to_them]]</f>
        <v>0.97</v>
      </c>
      <c r="CP1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5" s="500">
        <f>IF(WWWW[[#This Row],['#_PPL_accessed_water_in_TLS]]&gt;WWWW[[#This Row],['# students access to functioning school latrines_HRP5]],WWWW[[#This Row],['#_PPL_accessed_water_in_TLS]],WWWW[[#This Row],['# students access to functioning school latrines_HRP5]])</f>
        <v>0</v>
      </c>
      <c r="CR15" s="500">
        <f>IF(WWWW[[#This Row],['#_PPL_accessed_water_in_THF]]&gt;WWWW[[#This Row],['# people access to functioning latrines in THF_HRP6]],WWWW[[#This Row],['#_PPL_accessed_water_in_THF]],WWWW[[#This Row],['# people access to functioning latrines in THF_HRP6]])</f>
        <v>150</v>
      </c>
      <c r="CS15" s="857" t="str">
        <f>VLOOKUP(WWWW[[#This Row],[Site Name]],SiteDB6[[Site Name]:[CCCM Management]],6,FALSE)</f>
        <v>Yes</v>
      </c>
      <c r="CT15" s="857" t="str">
        <f>VLOOKUP(WWWW[[#This Row],[Site Name]],SiteDB6[[Site Name]:[CCCM Focal Agency]],7,FALSE)</f>
        <v>DRC</v>
      </c>
      <c r="CU15" s="857" t="str">
        <f>VLOOKUP(WWWW[[#This Row],[Site Name]],SiteDB6[[Site Name]:[Location Type 1]],9,FALSE)</f>
        <v>Camp</v>
      </c>
      <c r="CV15" s="857" t="str">
        <f>VLOOKUP(WWWW[[#This Row],[Site Name]],SiteDB6[[Site Name]:[Type of Accommodation]],10,FALSE)</f>
        <v>Planned Camp</v>
      </c>
      <c r="CW15" s="857" t="str">
        <f>VLOOKUP(WWWW[[#This Row],[Site Name]],SiteDB6[[Site Name]:[Ethnic or GCA/NGCA]],11,FALSE)</f>
        <v>Muslim</v>
      </c>
      <c r="CX15" s="857">
        <f>VLOOKUP(WWWW[[#This Row],[Site Name]],SiteDB6[[Site Name]:[Lat]],12,FALSE)</f>
        <v>20.090183</v>
      </c>
      <c r="CY15" s="857">
        <f>VLOOKUP(WWWW[[#This Row],[Site Name]],SiteDB6[[Site Name]:[Long]],13,FALSE)</f>
        <v>93.010368999999997</v>
      </c>
      <c r="CZ15" s="857" t="str">
        <f>VLOOKUP(WWWW[[#This Row],[Site Name]],SiteDB6[[Site Name]:[Pcode]],3,FALSE)</f>
        <v>MMR012CMP018</v>
      </c>
      <c r="DA15" s="870" t="str">
        <f t="shared" si="0"/>
        <v>Covered</v>
      </c>
      <c r="DB15" s="477">
        <f>VLOOKUP(WWWW[[#This Row],[Site Name]],SiteDB6[[Site Name]:[PWD_Total]],22,FALSE)</f>
        <v>95</v>
      </c>
      <c r="DC15" s="477">
        <f>VLOOKUP(WWWW[[#This Row],[Site Name]],SiteDB6[[Site Name]:[PWD_Total]],23,FALSE)</f>
        <v>1102</v>
      </c>
      <c r="DD15" s="477">
        <f>WWWW[[#This Row],['# of Male_People with disabilities]]+WWWW[[#This Row],['# of Female_People with disabilities]]</f>
        <v>1197</v>
      </c>
      <c r="DE15" s="857"/>
      <c r="DF15" s="870"/>
      <c r="DG15" s="870"/>
      <c r="DH15" s="870"/>
      <c r="DI15" s="870">
        <f>VLOOKUP(WWWW[[#This Row],[Site Name]],SiteDB6[[Site Name]:[Pop
(CCCM as of Autust 2021)]],16,FALSE)</f>
        <v>1387</v>
      </c>
      <c r="DJ15" s="870">
        <f>VLOOKUP(WWWW[[#This Row],[Site Name]],SiteDB6[[Site Name]:[Pop
(CCCM as of Autust 2021)]],17,FALSE)</f>
        <v>6674</v>
      </c>
    </row>
    <row r="16" spans="1:114" hidden="1">
      <c r="A16" s="824" t="s">
        <v>3144</v>
      </c>
      <c r="B16" s="824" t="s">
        <v>2620</v>
      </c>
      <c r="C16" s="825" t="s">
        <v>2269</v>
      </c>
      <c r="D16" s="825" t="s">
        <v>40</v>
      </c>
      <c r="E16" s="856" t="s">
        <v>293</v>
      </c>
      <c r="F16" s="825" t="s">
        <v>294</v>
      </c>
      <c r="G16" s="857" t="s">
        <v>43</v>
      </c>
      <c r="H16" s="825" t="s">
        <v>430</v>
      </c>
      <c r="I16" s="827">
        <v>656</v>
      </c>
      <c r="J16" s="827">
        <v>3486</v>
      </c>
      <c r="K16" s="684">
        <f>WWWW[[#This Row],[Total PoP ]]/WWWW[[#This Row],[Total HH]]</f>
        <v>5.3140243902439028</v>
      </c>
      <c r="L16" s="828">
        <v>44197</v>
      </c>
      <c r="M16" s="829">
        <v>44592</v>
      </c>
      <c r="N16" s="827"/>
      <c r="O16" s="500">
        <v>29</v>
      </c>
      <c r="P16" s="827">
        <v>39</v>
      </c>
      <c r="Q16" s="500"/>
      <c r="R16" s="500"/>
      <c r="S16" s="827"/>
      <c r="T16" s="827"/>
      <c r="U16" s="500"/>
      <c r="V16" s="450"/>
      <c r="W16" s="827"/>
      <c r="X16" s="830"/>
      <c r="Y16" s="827"/>
      <c r="Z16" s="500"/>
      <c r="AA16" s="500"/>
      <c r="AB16" s="831"/>
      <c r="AC16" s="827">
        <v>199</v>
      </c>
      <c r="AD16" s="827">
        <v>228</v>
      </c>
      <c r="AE16" s="827"/>
      <c r="AF16" s="827"/>
      <c r="AG16" s="830"/>
      <c r="AH16" s="830"/>
      <c r="AI16" s="830"/>
      <c r="AJ16" s="827">
        <v>2</v>
      </c>
      <c r="AK16" s="827">
        <v>42</v>
      </c>
      <c r="AL16" s="827">
        <v>8</v>
      </c>
      <c r="AM16" s="500"/>
      <c r="AN16" s="827" t="s">
        <v>41</v>
      </c>
      <c r="AO16" s="832"/>
      <c r="AP16" s="827"/>
      <c r="AQ16" s="827"/>
      <c r="AR16" s="827"/>
      <c r="AS16" s="827"/>
      <c r="AT16" s="827"/>
      <c r="AU16" s="827"/>
      <c r="AV16" s="450"/>
      <c r="AW16" s="830"/>
      <c r="AX16" s="451">
        <v>3</v>
      </c>
      <c r="AY16" s="840"/>
      <c r="AZ16" s="450"/>
      <c r="BA16" s="450"/>
      <c r="BB16" s="450"/>
      <c r="BC16" s="450"/>
      <c r="BD16" s="450"/>
      <c r="BE16" s="500"/>
      <c r="BF16" s="500"/>
      <c r="BG16" s="500"/>
      <c r="BH16" s="850"/>
      <c r="BI16" s="850"/>
      <c r="BJ16" s="847"/>
      <c r="BK16" s="500"/>
      <c r="BL16" s="834" t="str">
        <f>IF(WWWW[[#This Row],['#_Water samples_Tested_at_water_source]]="","no test","Tested")</f>
        <v>no test</v>
      </c>
      <c r="BM16" s="834" t="str">
        <f>IF(WWWW[[#This Row],['#_Water samples_Tested_at_HH]]="","no test","Tested")</f>
        <v>no test</v>
      </c>
      <c r="BN16" s="835" t="str">
        <f>IF(AND(WWWW[[#This Row],[Water_testing_at source]]="no test",WWWW[[#This Row],[Water_testing_at HH]]="no test"),"No Test","Tested")</f>
        <v>No Test</v>
      </c>
      <c r="BO16"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6" s="836">
        <f>WWWW[[#This Row],[% HRP1]]*WWWW[[#This Row],[Total PoP ]]</f>
        <v>3486</v>
      </c>
      <c r="BQ16" s="837">
        <f>WWWW[[#This Row],[HRP1]]/500</f>
        <v>6.9720000000000004</v>
      </c>
      <c r="BR16" s="838">
        <f>1-WWWW[[#This Row],[% HRP1]]</f>
        <v>0</v>
      </c>
      <c r="BS16" s="837">
        <f>WWWW[[#This Row],[%equitable and continuous access to sufficient quantity of safe drinking and domestic water''s GAP]]*WWWW[[#This Row],[Total PoP ]]</f>
        <v>0</v>
      </c>
      <c r="BT16" s="451">
        <f>ROUND(IF(WWWW[[#This Row],[Total PoP ]]&lt;500,1,WWWW[[#This Row],[Total PoP ]]/500),0)</f>
        <v>7</v>
      </c>
      <c r="BU16" s="835">
        <f>IF(WWWW[[#This Row],[Total required water points]]-WWWW[[#This Row],['#Water points coverage]]&lt;0,0,WWWW[[#This Row],[Total required water points]]-WWWW[[#This Row],['#Water points coverage]])</f>
        <v>2.7999999999999581E-2</v>
      </c>
      <c r="BV16" s="452">
        <f>WWWW[[#This Row],[HRP2]]/WWWW[[#This Row],[Total PoP ]]</f>
        <v>1</v>
      </c>
      <c r="BW16"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16" s="455">
        <f>IF(WWWW[[#This Row],['#_Functional_adult_latrines]]="","",WWWW[[#This Row],[Total PoP ]]/WWWW[[#This Row],['#_Functional_adult_latrines]])</f>
        <v>17.517587939698494</v>
      </c>
      <c r="BY16" s="835">
        <f>WWWW[[#This Row],['#_of_latrines_in_TLS/CFS]]*50</f>
        <v>400</v>
      </c>
      <c r="BZ16" s="451">
        <f>IF(WWWW[[#This Row],['#_of_latrines_in_THF]]="",0,WWWW[[#This Row],['#_of_latrines_in_THF]]*50)</f>
        <v>0</v>
      </c>
      <c r="CA16" s="835">
        <f>ROUND(IF(WWWW[[#This Row],[Location Type 1]]="camp",WWWW[[#This Row],[Total PoP ]]/20),0)</f>
        <v>174</v>
      </c>
      <c r="CB16" s="835">
        <f>IF(WWWW[[#This Row],[Total required Latrines]]-WWWW[[#This Row],['#_Existing_latrines]]&lt;0,0,WWWW[[#This Row],[Total required Latrines]]-WWWW[[#This Row],['#_Existing_latrines]])</f>
        <v>0</v>
      </c>
      <c r="CC16" s="838">
        <f>1-WWWW[[#This Row],[% HRP2]]</f>
        <v>0</v>
      </c>
      <c r="CD16" s="834">
        <f>IF(WWWW[[#This Row],['#_Existing_latrines]]="","NA",(WWWW[[#This Row],['#_Existing_latrines]]-WWWW[[#This Row],['#_Functional_adult_latrines]])/WWWW[[#This Row],['#_Existing_latrines]])</f>
        <v>0.12719298245614036</v>
      </c>
      <c r="CE16"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6"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6" s="835">
        <f>IF(WWWW[[#This Row],['#_of_affected_women_and_girls_receiving_a_sufficient_quantity_of_sanitary_pads]]&gt;WWWW[[#This Row],[Total PoP ]],WWWW[[#This Row],[Total PoP ]],WWWW[[#This Row],['#_of_affected_women_and_girls_receiving_a_sufficient_quantity_of_sanitary_pads]])</f>
        <v>0</v>
      </c>
      <c r="CH16" s="835">
        <f>IF(WWWW[[#This Row],['# People with access to soap]]&gt;WWWW[[#This Row],['# People with access to Sanity Pads]],WWWW[[#This Row],['# People with access to soap]],WWWW[[#This Row],['# People with access to Sanity Pads]])</f>
        <v>0</v>
      </c>
      <c r="CI16"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6" s="838">
        <f>IF(WWWW[[#This Row],[HRP3]]/WWWW[[#This Row],[Total PoP ]]&gt;100%,100%,WWWW[[#This Row],[HRP3]]/WWWW[[#This Row],[Total PoP ]])</f>
        <v>0</v>
      </c>
      <c r="CK16" s="834">
        <f>1-WWWW[[#This Row],[Hygiene Coverage%]]</f>
        <v>1</v>
      </c>
      <c r="CL16" s="830">
        <f>WWWW[[#This Row],['# people reached by regular dedicated hygiene promotion_5]]/WWWW[[#This Row],[Total PoP ]]</f>
        <v>0</v>
      </c>
      <c r="CM16" s="834">
        <f>IF(WWWW[[#This Row],['#_of_affected_households_receiving_a_sufficient_quantity_of_soap]]/WWWW[[#This Row],[Total HH]]&gt;1,1,WWWW[[#This Row],['#_of_affected_households_receiving_a_sufficient_quantity_of_soap]]/WWWW[[#This Row],[Total HH]])</f>
        <v>0</v>
      </c>
      <c r="CN16" s="455" t="str">
        <f>IF(WWWW[[#This Row],['#_students at TLS_CFS]]="","No","Yes")</f>
        <v>No</v>
      </c>
      <c r="CO16" s="452">
        <f>WWWW[[#This Row],[%_of_affected_people_surveyed_who_report_feeling_informed_about_the_different_WASH_services_available_to_them]]</f>
        <v>0</v>
      </c>
      <c r="CP1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6" s="500">
        <f>IF(WWWW[[#This Row],['#_PPL_accessed_water_in_TLS]]&gt;WWWW[[#This Row],['# students access to functioning school latrines_HRP5]],WWWW[[#This Row],['#_PPL_accessed_water_in_TLS]],WWWW[[#This Row],['# students access to functioning school latrines_HRP5]])</f>
        <v>400</v>
      </c>
      <c r="CR16" s="500">
        <f>IF(WWWW[[#This Row],['#_PPL_accessed_water_in_THF]]&gt;WWWW[[#This Row],['# people access to functioning latrines in THF_HRP6]],WWWW[[#This Row],['#_PPL_accessed_water_in_THF]],WWWW[[#This Row],['# people access to functioning latrines in THF_HRP6]])</f>
        <v>0</v>
      </c>
      <c r="CS16" s="826" t="str">
        <f>VLOOKUP(WWWW[[#This Row],[Site Name]],SiteDB6[[Site Name]:[CCCM Management]],6,FALSE)</f>
        <v>Yes</v>
      </c>
      <c r="CT16" s="826">
        <f>VLOOKUP(WWWW[[#This Row],[Site Name]],SiteDB6[[Site Name]:[CCCM Focal Agency]],7,FALSE)</f>
        <v>0</v>
      </c>
      <c r="CU16" s="826" t="str">
        <f>VLOOKUP(WWWW[[#This Row],[Site Name]],SiteDB6[[Site Name]:[Location Type 1]],9,FALSE)</f>
        <v>Camp</v>
      </c>
      <c r="CV16" s="826" t="str">
        <f>VLOOKUP(WWWW[[#This Row],[Site Name]],SiteDB6[[Site Name]:[Type of Accommodation]],10,FALSE)</f>
        <v>Planned Camp</v>
      </c>
      <c r="CW16" s="826" t="str">
        <f>VLOOKUP(WWWW[[#This Row],[Site Name]],SiteDB6[[Site Name]:[Ethnic or GCA/NGCA]],11,FALSE)</f>
        <v>Muslim</v>
      </c>
      <c r="CX16" s="826">
        <f>VLOOKUP(WWWW[[#This Row],[Site Name]],SiteDB6[[Site Name]:[Lat]],12,FALSE)</f>
        <v>20.185917</v>
      </c>
      <c r="CY16" s="826">
        <f>VLOOKUP(WWWW[[#This Row],[Site Name]],SiteDB6[[Site Name]:[Long]],13,FALSE)</f>
        <v>92.831000000000003</v>
      </c>
      <c r="CZ16" s="826" t="str">
        <f>VLOOKUP(WWWW[[#This Row],[Site Name]],SiteDB6[[Site Name]:[Pcode]],3,FALSE)</f>
        <v>MMR012CMP092</v>
      </c>
      <c r="DA16" s="839" t="str">
        <f t="shared" si="0"/>
        <v>Covered</v>
      </c>
      <c r="DB16" s="477">
        <f>VLOOKUP(WWWW[[#This Row],[Site Name]],SiteDB6[[Site Name]:[PWD_Total]],22,FALSE)</f>
        <v>88</v>
      </c>
      <c r="DC16" s="477">
        <f>VLOOKUP(WWWW[[#This Row],[Site Name]],SiteDB6[[Site Name]:[PWD_Total]],23,FALSE)</f>
        <v>397</v>
      </c>
      <c r="DD16" s="477">
        <f>WWWW[[#This Row],['# of Male_People with disabilities]]+WWWW[[#This Row],['# of Female_People with disabilities]]</f>
        <v>485</v>
      </c>
      <c r="DE16" s="826"/>
      <c r="DF16" s="839"/>
      <c r="DG16" s="839"/>
      <c r="DH16" s="839"/>
      <c r="DI16" s="839">
        <f>VLOOKUP(WWWW[[#This Row],[Site Name]],SiteDB6[[Site Name]:[Pop
(CCCM as of Autust 2021)]],16,FALSE)</f>
        <v>657</v>
      </c>
      <c r="DJ16" s="839">
        <f>VLOOKUP(WWWW[[#This Row],[Site Name]],SiteDB6[[Site Name]:[Pop
(CCCM as of Autust 2021)]],17,FALSE)</f>
        <v>3906</v>
      </c>
    </row>
    <row r="17" spans="1:114" hidden="1">
      <c r="A17" s="824" t="s">
        <v>3144</v>
      </c>
      <c r="B17" s="855" t="s">
        <v>265</v>
      </c>
      <c r="C17" s="855" t="s">
        <v>265</v>
      </c>
      <c r="D17" s="856" t="s">
        <v>2983</v>
      </c>
      <c r="E17" s="856" t="s">
        <v>293</v>
      </c>
      <c r="F17" s="825" t="s">
        <v>401</v>
      </c>
      <c r="G17" s="857" t="s">
        <v>43</v>
      </c>
      <c r="H17" s="825" t="s">
        <v>405</v>
      </c>
      <c r="I17" s="858">
        <v>1076</v>
      </c>
      <c r="J17" s="858">
        <v>5024</v>
      </c>
      <c r="K17" s="684">
        <f>WWWW[[#This Row],[Total PoP ]]/WWWW[[#This Row],[Total HH]]</f>
        <v>4.6691449814126393</v>
      </c>
      <c r="L17" s="859">
        <v>43525</v>
      </c>
      <c r="M17" s="860">
        <v>44620</v>
      </c>
      <c r="N17" s="858"/>
      <c r="O17" s="500"/>
      <c r="P17" s="858"/>
      <c r="Q17" s="500">
        <v>9</v>
      </c>
      <c r="R17" s="500">
        <v>9</v>
      </c>
      <c r="S17" s="858"/>
      <c r="T17" s="858">
        <v>5024</v>
      </c>
      <c r="U17" s="858"/>
      <c r="V17" s="861"/>
      <c r="W17" s="858"/>
      <c r="X17" s="861"/>
      <c r="Y17" s="858"/>
      <c r="Z17" s="500"/>
      <c r="AA17" s="500"/>
      <c r="AB17" s="862"/>
      <c r="AC17" s="858">
        <v>121</v>
      </c>
      <c r="AD17" s="858">
        <v>154</v>
      </c>
      <c r="AE17" s="858"/>
      <c r="AF17" s="858"/>
      <c r="AG17" s="861">
        <v>0.99</v>
      </c>
      <c r="AH17" s="861">
        <v>0.98</v>
      </c>
      <c r="AI17" s="861">
        <v>0.98</v>
      </c>
      <c r="AJ17" s="858">
        <v>25</v>
      </c>
      <c r="AK17" s="858">
        <v>120</v>
      </c>
      <c r="AL17" s="858"/>
      <c r="AM17" s="500">
        <v>2</v>
      </c>
      <c r="AN17" s="858" t="s">
        <v>41</v>
      </c>
      <c r="AO17" s="863" t="s">
        <v>3152</v>
      </c>
      <c r="AP17" s="858">
        <v>974</v>
      </c>
      <c r="AQ17" s="858">
        <v>1090</v>
      </c>
      <c r="AR17" s="858">
        <v>1516</v>
      </c>
      <c r="AS17" s="858">
        <v>1444</v>
      </c>
      <c r="AT17" s="858">
        <v>1059</v>
      </c>
      <c r="AU17" s="858">
        <v>2118</v>
      </c>
      <c r="AV17" s="450"/>
      <c r="AW17" s="861">
        <v>0.79</v>
      </c>
      <c r="AX17" s="451"/>
      <c r="AY17" s="864" t="s">
        <v>3153</v>
      </c>
      <c r="AZ17" s="450">
        <v>0.99</v>
      </c>
      <c r="BA17" s="450">
        <v>0.99</v>
      </c>
      <c r="BB17" s="450">
        <v>0.95</v>
      </c>
      <c r="BC17" s="450">
        <v>1</v>
      </c>
      <c r="BD17" s="450"/>
      <c r="BE17" s="500"/>
      <c r="BF17" s="500"/>
      <c r="BG17" s="500"/>
      <c r="BH17" s="500"/>
      <c r="BI17" s="500"/>
      <c r="BJ17" s="500"/>
      <c r="BK17" s="500"/>
      <c r="BL17" s="865" t="str">
        <f>IF(WWWW[[#This Row],['#_Water samples_Tested_at_water_source]]="","no test","Tested")</f>
        <v>no test</v>
      </c>
      <c r="BM17" s="865" t="str">
        <f>IF(WWWW[[#This Row],['#_Water samples_Tested_at_HH]]="","no test","Tested")</f>
        <v>no test</v>
      </c>
      <c r="BN17" s="866" t="str">
        <f>IF(AND(WWWW[[#This Row],[Water_testing_at source]]="no test",WWWW[[#This Row],[Water_testing_at HH]]="no test"),"No Test","Tested")</f>
        <v>No Test</v>
      </c>
      <c r="BO17"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7" s="867">
        <f>WWWW[[#This Row],[% HRP1]]*WWWW[[#This Row],[Total PoP ]]</f>
        <v>5024</v>
      </c>
      <c r="BQ17" s="868">
        <f>WWWW[[#This Row],[HRP1]]/500</f>
        <v>10.048</v>
      </c>
      <c r="BR17" s="869">
        <f>1-WWWW[[#This Row],[% HRP1]]</f>
        <v>0</v>
      </c>
      <c r="BS17" s="868">
        <f>WWWW[[#This Row],[%equitable and continuous access to sufficient quantity of safe drinking and domestic water''s GAP]]*WWWW[[#This Row],[Total PoP ]]</f>
        <v>0</v>
      </c>
      <c r="BT17" s="451">
        <f>ROUND(IF(WWWW[[#This Row],[Total PoP ]]&lt;500,1,WWWW[[#This Row],[Total PoP ]]/500),0)</f>
        <v>10</v>
      </c>
      <c r="BU17" s="866">
        <f>IF(WWWW[[#This Row],[Total required water points]]-WWWW[[#This Row],['#Water points coverage]]&lt;0,0,WWWW[[#This Row],[Total required water points]]-WWWW[[#This Row],['#Water points coverage]])</f>
        <v>0</v>
      </c>
      <c r="BV17" s="452">
        <f>WWWW[[#This Row],[HRP2]]/WWWW[[#This Row],[Total PoP ]]</f>
        <v>0.60509554140127386</v>
      </c>
      <c r="BW17"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3040</v>
      </c>
      <c r="BX17" s="455">
        <f>IF(WWWW[[#This Row],['#_Functional_adult_latrines]]="","",WWWW[[#This Row],[Total PoP ]]/WWWW[[#This Row],['#_Functional_adult_latrines]])</f>
        <v>41.52066115702479</v>
      </c>
      <c r="BY17" s="866">
        <f>WWWW[[#This Row],['#_of_latrines_in_TLS/CFS]]*50</f>
        <v>0</v>
      </c>
      <c r="BZ17" s="451">
        <f>IF(WWWW[[#This Row],['#_of_latrines_in_THF]]="",0,WWWW[[#This Row],['#_of_latrines_in_THF]]*50)</f>
        <v>100</v>
      </c>
      <c r="CA17" s="866">
        <f>ROUND(IF(WWWW[[#This Row],[Location Type 1]]="camp",WWWW[[#This Row],[Total PoP ]]/20),0)</f>
        <v>251</v>
      </c>
      <c r="CB17" s="866">
        <f>IF(WWWW[[#This Row],[Total required Latrines]]-WWWW[[#This Row],['#_Existing_latrines]]&lt;0,0,WWWW[[#This Row],[Total required Latrines]]-WWWW[[#This Row],['#_Existing_latrines]])</f>
        <v>97</v>
      </c>
      <c r="CC17" s="869">
        <f>1-WWWW[[#This Row],[% HRP2]]</f>
        <v>0.39490445859872614</v>
      </c>
      <c r="CD17" s="865">
        <f>IF(WWWW[[#This Row],['#_Existing_latrines]]="","NA",(WWWW[[#This Row],['#_Existing_latrines]]-WWWW[[#This Row],['#_Functional_adult_latrines]])/WWWW[[#This Row],['#_Existing_latrines]])</f>
        <v>0.21428571428571427</v>
      </c>
      <c r="CE17"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17"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4944.6245353159848</v>
      </c>
      <c r="CG17" s="866">
        <f>IF(WWWW[[#This Row],['#_of_affected_women_and_girls_receiving_a_sufficient_quantity_of_sanitary_pads]]&gt;WWWW[[#This Row],[Total PoP ]],WWWW[[#This Row],[Total PoP ]],WWWW[[#This Row],['#_of_affected_women_and_girls_receiving_a_sufficient_quantity_of_sanitary_pads]])</f>
        <v>2118</v>
      </c>
      <c r="CH17" s="866">
        <f>IF(WWWW[[#This Row],['# People with access to soap]]&gt;WWWW[[#This Row],['# People with access to Sanity Pads]],WWWW[[#This Row],['# People with access to soap]],WWWW[[#This Row],['# People with access to Sanity Pads]])</f>
        <v>4944.6245353159848</v>
      </c>
      <c r="CI17" s="866">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17" s="869">
        <f>IF(WWWW[[#This Row],[HRP3]]/WWWW[[#This Row],[Total PoP ]]&gt;100%,100%,WWWW[[#This Row],[HRP3]]/WWWW[[#This Row],[Total PoP ]])</f>
        <v>1</v>
      </c>
      <c r="CK17" s="865">
        <f>1-WWWW[[#This Row],[Hygiene Coverage%]]</f>
        <v>0</v>
      </c>
      <c r="CL17" s="861">
        <f>WWWW[[#This Row],['# people reached by regular dedicated hygiene promotion_5]]/WWWW[[#This Row],[Total PoP ]]</f>
        <v>1</v>
      </c>
      <c r="CM17" s="865">
        <f>IF(WWWW[[#This Row],['#_of_affected_households_receiving_a_sufficient_quantity_of_soap]]/WWWW[[#This Row],[Total HH]]&gt;1,1,WWWW[[#This Row],['#_of_affected_households_receiving_a_sufficient_quantity_of_soap]]/WWWW[[#This Row],[Total HH]])</f>
        <v>0.98420074349442377</v>
      </c>
      <c r="CN17" s="455" t="str">
        <f>IF(WWWW[[#This Row],['#_students at TLS_CFS]]="","No","Yes")</f>
        <v>No</v>
      </c>
      <c r="CO17" s="452">
        <f>WWWW[[#This Row],[%_of_affected_people_surveyed_who_report_feeling_informed_about_the_different_WASH_services_available_to_them]]</f>
        <v>0.95</v>
      </c>
      <c r="CP1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7" s="500">
        <f>IF(WWWW[[#This Row],['#_PPL_accessed_water_in_TLS]]&gt;WWWW[[#This Row],['# students access to functioning school latrines_HRP5]],WWWW[[#This Row],['#_PPL_accessed_water_in_TLS]],WWWW[[#This Row],['# students access to functioning school latrines_HRP5]])</f>
        <v>0</v>
      </c>
      <c r="CR17" s="500">
        <f>IF(WWWW[[#This Row],['#_PPL_accessed_water_in_THF]]&gt;WWWW[[#This Row],['# people access to functioning latrines in THF_HRP6]],WWWW[[#This Row],['#_PPL_accessed_water_in_THF]],WWWW[[#This Row],['# people access to functioning latrines in THF_HRP6]])</f>
        <v>100</v>
      </c>
      <c r="CS17" s="857" t="str">
        <f>VLOOKUP(WWWW[[#This Row],[Site Name]],SiteDB6[[Site Name]:[CCCM Management]],6,FALSE)</f>
        <v>Yes</v>
      </c>
      <c r="CT17" s="857" t="str">
        <f>VLOOKUP(WWWW[[#This Row],[Site Name]],SiteDB6[[Site Name]:[CCCM Focal Agency]],7,FALSE)</f>
        <v>LWF</v>
      </c>
      <c r="CU17" s="857" t="str">
        <f>VLOOKUP(WWWW[[#This Row],[Site Name]],SiteDB6[[Site Name]:[Location Type 1]],9,FALSE)</f>
        <v>Camp</v>
      </c>
      <c r="CV17" s="857" t="str">
        <f>VLOOKUP(WWWW[[#This Row],[Site Name]],SiteDB6[[Site Name]:[Type of Accommodation]],10,FALSE)</f>
        <v>Individual House</v>
      </c>
      <c r="CW17" s="857" t="str">
        <f>VLOOKUP(WWWW[[#This Row],[Site Name]],SiteDB6[[Site Name]:[Ethnic or GCA/NGCA]],11,FALSE)</f>
        <v>Muslim</v>
      </c>
      <c r="CX17" s="857">
        <f>VLOOKUP(WWWW[[#This Row],[Site Name]],SiteDB6[[Site Name]:[Lat]],12,FALSE)</f>
        <v>20.073437999999999</v>
      </c>
      <c r="CY17" s="857">
        <f>VLOOKUP(WWWW[[#This Row],[Site Name]],SiteDB6[[Site Name]:[Long]],13,FALSE)</f>
        <v>93.154551999999995</v>
      </c>
      <c r="CZ17" s="857" t="str">
        <f>VLOOKUP(WWWW[[#This Row],[Site Name]],SiteDB6[[Site Name]:[Pcode]],3,FALSE)</f>
        <v>MMR012CMP017</v>
      </c>
      <c r="DA17" s="870" t="str">
        <f t="shared" si="0"/>
        <v>Covered</v>
      </c>
      <c r="DB17" s="477">
        <f>VLOOKUP(WWWW[[#This Row],[Site Name]],SiteDB6[[Site Name]:[PWD_Total]],22,FALSE)</f>
        <v>159</v>
      </c>
      <c r="DC17" s="477">
        <f>VLOOKUP(WWWW[[#This Row],[Site Name]],SiteDB6[[Site Name]:[PWD_Total]],23,FALSE)</f>
        <v>923</v>
      </c>
      <c r="DD17" s="477">
        <f>WWWW[[#This Row],['# of Male_People with disabilities]]+WWWW[[#This Row],['# of Female_People with disabilities]]</f>
        <v>1082</v>
      </c>
      <c r="DE17" s="857"/>
      <c r="DF17" s="870"/>
      <c r="DG17" s="870"/>
      <c r="DH17" s="870"/>
      <c r="DI17" s="870">
        <f>VLOOKUP(WWWW[[#This Row],[Site Name]],SiteDB6[[Site Name]:[Pop
(CCCM as of Autust 2021)]],16,FALSE)</f>
        <v>1059</v>
      </c>
      <c r="DJ17" s="870">
        <f>VLOOKUP(WWWW[[#This Row],[Site Name]],SiteDB6[[Site Name]:[Pop
(CCCM as of Autust 2021)]],17,FALSE)</f>
        <v>5004</v>
      </c>
    </row>
    <row r="18" spans="1:114" hidden="1">
      <c r="A18" s="824" t="s">
        <v>3144</v>
      </c>
      <c r="B18" s="855" t="s">
        <v>265</v>
      </c>
      <c r="C18" s="855" t="s">
        <v>265</v>
      </c>
      <c r="D18" s="856" t="s">
        <v>2983</v>
      </c>
      <c r="E18" s="856" t="s">
        <v>293</v>
      </c>
      <c r="F18" s="825" t="s">
        <v>401</v>
      </c>
      <c r="G18" s="857" t="s">
        <v>43</v>
      </c>
      <c r="H18" s="825" t="s">
        <v>406</v>
      </c>
      <c r="I18" s="858">
        <v>1064</v>
      </c>
      <c r="J18" s="858">
        <v>5137</v>
      </c>
      <c r="K18" s="684">
        <f>WWWW[[#This Row],[Total PoP ]]/WWWW[[#This Row],[Total HH]]</f>
        <v>4.8280075187969924</v>
      </c>
      <c r="L18" s="859">
        <v>43525</v>
      </c>
      <c r="M18" s="860">
        <v>44620</v>
      </c>
      <c r="N18" s="858"/>
      <c r="O18" s="500"/>
      <c r="P18" s="858"/>
      <c r="Q18" s="500">
        <v>7</v>
      </c>
      <c r="R18" s="500">
        <v>7</v>
      </c>
      <c r="S18" s="858"/>
      <c r="T18" s="858">
        <v>5137</v>
      </c>
      <c r="U18" s="858"/>
      <c r="V18" s="861"/>
      <c r="W18" s="858"/>
      <c r="X18" s="861"/>
      <c r="Y18" s="858"/>
      <c r="Z18" s="500"/>
      <c r="AA18" s="500"/>
      <c r="AB18" s="862"/>
      <c r="AC18" s="858">
        <v>148</v>
      </c>
      <c r="AD18" s="858">
        <v>189</v>
      </c>
      <c r="AE18" s="858"/>
      <c r="AF18" s="858"/>
      <c r="AG18" s="861">
        <v>0.99</v>
      </c>
      <c r="AH18" s="861">
        <v>0.98</v>
      </c>
      <c r="AI18" s="861">
        <v>0.98</v>
      </c>
      <c r="AJ18" s="858">
        <v>34</v>
      </c>
      <c r="AK18" s="858">
        <v>80</v>
      </c>
      <c r="AL18" s="858"/>
      <c r="AM18" s="500">
        <v>3</v>
      </c>
      <c r="AN18" s="858" t="s">
        <v>41</v>
      </c>
      <c r="AO18" s="863" t="s">
        <v>3152</v>
      </c>
      <c r="AP18" s="858">
        <v>1051</v>
      </c>
      <c r="AQ18" s="858">
        <v>1120</v>
      </c>
      <c r="AR18" s="858">
        <v>1582</v>
      </c>
      <c r="AS18" s="858">
        <v>1384</v>
      </c>
      <c r="AT18" s="858">
        <v>1064</v>
      </c>
      <c r="AU18" s="858">
        <v>2128</v>
      </c>
      <c r="AV18" s="450"/>
      <c r="AW18" s="861">
        <v>0.79</v>
      </c>
      <c r="AX18" s="451"/>
      <c r="AY18" s="864" t="s">
        <v>3156</v>
      </c>
      <c r="AZ18" s="450">
        <v>0.99</v>
      </c>
      <c r="BA18" s="450">
        <v>0.98</v>
      </c>
      <c r="BB18" s="450">
        <v>0.96</v>
      </c>
      <c r="BC18" s="450">
        <v>1</v>
      </c>
      <c r="BD18" s="450"/>
      <c r="BE18" s="500"/>
      <c r="BF18" s="500"/>
      <c r="BG18" s="500"/>
      <c r="BH18" s="500"/>
      <c r="BI18" s="500"/>
      <c r="BJ18" s="500"/>
      <c r="BK18" s="500"/>
      <c r="BL18" s="865" t="str">
        <f>IF(WWWW[[#This Row],['#_Water samples_Tested_at_water_source]]="","no test","Tested")</f>
        <v>no test</v>
      </c>
      <c r="BM18" s="865" t="str">
        <f>IF(WWWW[[#This Row],['#_Water samples_Tested_at_HH]]="","no test","Tested")</f>
        <v>no test</v>
      </c>
      <c r="BN18" s="866" t="str">
        <f>IF(AND(WWWW[[#This Row],[Water_testing_at source]]="no test",WWWW[[#This Row],[Water_testing_at HH]]="no test"),"No Test","Tested")</f>
        <v>No Test</v>
      </c>
      <c r="BO18"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8" s="867">
        <f>WWWW[[#This Row],[% HRP1]]*WWWW[[#This Row],[Total PoP ]]</f>
        <v>5137</v>
      </c>
      <c r="BQ18" s="868">
        <f>WWWW[[#This Row],[HRP1]]/500</f>
        <v>10.273999999999999</v>
      </c>
      <c r="BR18" s="869">
        <f>1-WWWW[[#This Row],[% HRP1]]</f>
        <v>0</v>
      </c>
      <c r="BS18" s="868">
        <f>WWWW[[#This Row],[%equitable and continuous access to sufficient quantity of safe drinking and domestic water''s GAP]]*WWWW[[#This Row],[Total PoP ]]</f>
        <v>0</v>
      </c>
      <c r="BT18" s="451">
        <f>ROUND(IF(WWWW[[#This Row],[Total PoP ]]&lt;500,1,WWWW[[#This Row],[Total PoP ]]/500),0)</f>
        <v>10</v>
      </c>
      <c r="BU18" s="866">
        <f>IF(WWWW[[#This Row],[Total required water points]]-WWWW[[#This Row],['#Water points coverage]]&lt;0,0,WWWW[[#This Row],[Total required water points]]-WWWW[[#This Row],['#Water points coverage]])</f>
        <v>0</v>
      </c>
      <c r="BV18" s="452">
        <f>WWWW[[#This Row],[HRP2]]/WWWW[[#This Row],[Total PoP ]]</f>
        <v>0.72415806891181622</v>
      </c>
      <c r="BW18"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3720</v>
      </c>
      <c r="BX18" s="455">
        <f>IF(WWWW[[#This Row],['#_Functional_adult_latrines]]="","",WWWW[[#This Row],[Total PoP ]]/WWWW[[#This Row],['#_Functional_adult_latrines]])</f>
        <v>34.70945945945946</v>
      </c>
      <c r="BY18" s="866">
        <f>WWWW[[#This Row],['#_of_latrines_in_TLS/CFS]]*50</f>
        <v>0</v>
      </c>
      <c r="BZ18" s="451">
        <f>IF(WWWW[[#This Row],['#_of_latrines_in_THF]]="",0,WWWW[[#This Row],['#_of_latrines_in_THF]]*50)</f>
        <v>150</v>
      </c>
      <c r="CA18" s="866">
        <f>ROUND(IF(WWWW[[#This Row],[Location Type 1]]="camp",WWWW[[#This Row],[Total PoP ]]/20),0)</f>
        <v>257</v>
      </c>
      <c r="CB18" s="866">
        <f>IF(WWWW[[#This Row],[Total required Latrines]]-WWWW[[#This Row],['#_Existing_latrines]]&lt;0,0,WWWW[[#This Row],[Total required Latrines]]-WWWW[[#This Row],['#_Existing_latrines]])</f>
        <v>68</v>
      </c>
      <c r="CC18" s="869">
        <f>1-WWWW[[#This Row],[% HRP2]]</f>
        <v>0.27584193108818378</v>
      </c>
      <c r="CD18" s="865">
        <f>IF(WWWW[[#This Row],['#_Existing_latrines]]="","NA",(WWWW[[#This Row],['#_Existing_latrines]]-WWWW[[#This Row],['#_Functional_adult_latrines]])/WWWW[[#This Row],['#_Existing_latrines]])</f>
        <v>0.21693121693121692</v>
      </c>
      <c r="CE18"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18"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18" s="866">
        <f>IF(WWWW[[#This Row],['#_of_affected_women_and_girls_receiving_a_sufficient_quantity_of_sanitary_pads]]&gt;WWWW[[#This Row],[Total PoP ]],WWWW[[#This Row],[Total PoP ]],WWWW[[#This Row],['#_of_affected_women_and_girls_receiving_a_sufficient_quantity_of_sanitary_pads]])</f>
        <v>2128</v>
      </c>
      <c r="CH18" s="866">
        <f>IF(WWWW[[#This Row],['# People with access to soap]]&gt;WWWW[[#This Row],['# People with access to Sanity Pads]],WWWW[[#This Row],['# People with access to soap]],WWWW[[#This Row],['# People with access to Sanity Pads]])</f>
        <v>5137</v>
      </c>
      <c r="CI18" s="866">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18" s="869">
        <f>IF(WWWW[[#This Row],[HRP3]]/WWWW[[#This Row],[Total PoP ]]&gt;100%,100%,WWWW[[#This Row],[HRP3]]/WWWW[[#This Row],[Total PoP ]])</f>
        <v>1</v>
      </c>
      <c r="CK18" s="865">
        <f>1-WWWW[[#This Row],[Hygiene Coverage%]]</f>
        <v>0</v>
      </c>
      <c r="CL18" s="861">
        <f>WWWW[[#This Row],['# people reached by regular dedicated hygiene promotion_5]]/WWWW[[#This Row],[Total PoP ]]</f>
        <v>1</v>
      </c>
      <c r="CM18" s="865">
        <f>IF(WWWW[[#This Row],['#_of_affected_households_receiving_a_sufficient_quantity_of_soap]]/WWWW[[#This Row],[Total HH]]&gt;1,1,WWWW[[#This Row],['#_of_affected_households_receiving_a_sufficient_quantity_of_soap]]/WWWW[[#This Row],[Total HH]])</f>
        <v>1</v>
      </c>
      <c r="CN18" s="455" t="str">
        <f>IF(WWWW[[#This Row],['#_students at TLS_CFS]]="","No","Yes")</f>
        <v>No</v>
      </c>
      <c r="CO18" s="452">
        <f>WWWW[[#This Row],[%_of_affected_people_surveyed_who_report_feeling_informed_about_the_different_WASH_services_available_to_them]]</f>
        <v>0.96</v>
      </c>
      <c r="CP1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8" s="500">
        <f>IF(WWWW[[#This Row],['#_PPL_accessed_water_in_TLS]]&gt;WWWW[[#This Row],['# students access to functioning school latrines_HRP5]],WWWW[[#This Row],['#_PPL_accessed_water_in_TLS]],WWWW[[#This Row],['# students access to functioning school latrines_HRP5]])</f>
        <v>0</v>
      </c>
      <c r="CR18" s="500">
        <f>IF(WWWW[[#This Row],['#_PPL_accessed_water_in_THF]]&gt;WWWW[[#This Row],['# people access to functioning latrines in THF_HRP6]],WWWW[[#This Row],['#_PPL_accessed_water_in_THF]],WWWW[[#This Row],['# people access to functioning latrines in THF_HRP6]])</f>
        <v>150</v>
      </c>
      <c r="CS18" s="857" t="str">
        <f>VLOOKUP(WWWW[[#This Row],[Site Name]],SiteDB6[[Site Name]:[CCCM Management]],6,FALSE)</f>
        <v>Yes</v>
      </c>
      <c r="CT18" s="857" t="str">
        <f>VLOOKUP(WWWW[[#This Row],[Site Name]],SiteDB6[[Site Name]:[CCCM Focal Agency]],7,FALSE)</f>
        <v>LWF</v>
      </c>
      <c r="CU18" s="857" t="str">
        <f>VLOOKUP(WWWW[[#This Row],[Site Name]],SiteDB6[[Site Name]:[Location Type 1]],9,FALSE)</f>
        <v>Camp</v>
      </c>
      <c r="CV18" s="857" t="str">
        <f>VLOOKUP(WWWW[[#This Row],[Site Name]],SiteDB6[[Site Name]:[Type of Accommodation]],10,FALSE)</f>
        <v>Planned Camp</v>
      </c>
      <c r="CW18" s="857" t="str">
        <f>VLOOKUP(WWWW[[#This Row],[Site Name]],SiteDB6[[Site Name]:[Ethnic or GCA/NGCA]],11,FALSE)</f>
        <v>Muslim</v>
      </c>
      <c r="CX18" s="857">
        <f>VLOOKUP(WWWW[[#This Row],[Site Name]],SiteDB6[[Site Name]:[Lat]],12,FALSE)</f>
        <v>20.073437999999999</v>
      </c>
      <c r="CY18" s="857">
        <f>VLOOKUP(WWWW[[#This Row],[Site Name]],SiteDB6[[Site Name]:[Long]],13,FALSE)</f>
        <v>93.154551999999995</v>
      </c>
      <c r="CZ18" s="857" t="str">
        <f>VLOOKUP(WWWW[[#This Row],[Site Name]],SiteDB6[[Site Name]:[Pcode]],3,FALSE)</f>
        <v>MMR012CMP017</v>
      </c>
      <c r="DA18" s="870" t="str">
        <f t="shared" si="0"/>
        <v>Covered</v>
      </c>
      <c r="DB18" s="477">
        <f>VLOOKUP(WWWW[[#This Row],[Site Name]],SiteDB6[[Site Name]:[PWD_Total]],22,FALSE)</f>
        <v>116</v>
      </c>
      <c r="DC18" s="477">
        <f>VLOOKUP(WWWW[[#This Row],[Site Name]],SiteDB6[[Site Name]:[PWD_Total]],23,FALSE)</f>
        <v>693</v>
      </c>
      <c r="DD18" s="477">
        <f>WWWW[[#This Row],['# of Male_People with disabilities]]+WWWW[[#This Row],['# of Female_People with disabilities]]</f>
        <v>809</v>
      </c>
      <c r="DE18" s="857"/>
      <c r="DF18" s="870"/>
      <c r="DG18" s="870"/>
      <c r="DH18" s="870"/>
      <c r="DI18" s="870">
        <f>VLOOKUP(WWWW[[#This Row],[Site Name]],SiteDB6[[Site Name]:[Pop
(CCCM as of Autust 2021)]],16,FALSE)</f>
        <v>982</v>
      </c>
      <c r="DJ18" s="870">
        <f>VLOOKUP(WWWW[[#This Row],[Site Name]],SiteDB6[[Site Name]:[Pop
(CCCM as of Autust 2021)]],17,FALSE)</f>
        <v>4828</v>
      </c>
    </row>
    <row r="19" spans="1:114" hidden="1">
      <c r="A19" s="824" t="s">
        <v>3144</v>
      </c>
      <c r="B19" s="856" t="s">
        <v>2269</v>
      </c>
      <c r="C19" s="856" t="s">
        <v>2269</v>
      </c>
      <c r="D19" s="825" t="s">
        <v>40</v>
      </c>
      <c r="E19" s="856" t="s">
        <v>293</v>
      </c>
      <c r="F19" s="856" t="s">
        <v>294</v>
      </c>
      <c r="G19" s="857" t="s">
        <v>43</v>
      </c>
      <c r="H19" s="825" t="s">
        <v>440</v>
      </c>
      <c r="I19" s="827">
        <v>774</v>
      </c>
      <c r="J19" s="827">
        <v>3095</v>
      </c>
      <c r="K19" s="684">
        <f>WWWW[[#This Row],[Total PoP ]]/WWWW[[#This Row],[Total HH]]</f>
        <v>3.9987080103359172</v>
      </c>
      <c r="L19" s="828">
        <v>44197</v>
      </c>
      <c r="M19" s="829">
        <v>44592</v>
      </c>
      <c r="N19" s="827"/>
      <c r="O19" s="500">
        <v>59</v>
      </c>
      <c r="P19" s="827">
        <v>80</v>
      </c>
      <c r="Q19" s="500"/>
      <c r="R19" s="500"/>
      <c r="S19" s="827"/>
      <c r="T19" s="827"/>
      <c r="U19" s="500"/>
      <c r="V19" s="450"/>
      <c r="W19" s="500"/>
      <c r="X19" s="450"/>
      <c r="Y19" s="827"/>
      <c r="Z19" s="500"/>
      <c r="AA19" s="500"/>
      <c r="AB19" s="831"/>
      <c r="AC19" s="827">
        <v>140</v>
      </c>
      <c r="AD19" s="827">
        <v>187</v>
      </c>
      <c r="AE19" s="827"/>
      <c r="AF19" s="827"/>
      <c r="AG19" s="830"/>
      <c r="AH19" s="830"/>
      <c r="AI19" s="830"/>
      <c r="AJ19" s="827"/>
      <c r="AK19" s="827">
        <v>19</v>
      </c>
      <c r="AL19" s="827">
        <v>2</v>
      </c>
      <c r="AM19" s="500"/>
      <c r="AN19" s="827" t="s">
        <v>41</v>
      </c>
      <c r="AO19" s="832"/>
      <c r="AP19" s="827"/>
      <c r="AQ19" s="827"/>
      <c r="AR19" s="827"/>
      <c r="AS19" s="827"/>
      <c r="AT19" s="827"/>
      <c r="AU19" s="827"/>
      <c r="AV19" s="450"/>
      <c r="AW19" s="830"/>
      <c r="AX19" s="451"/>
      <c r="AY19" s="840"/>
      <c r="AZ19" s="450"/>
      <c r="BA19" s="450"/>
      <c r="BB19" s="450"/>
      <c r="BC19" s="450"/>
      <c r="BD19" s="450"/>
      <c r="BE19" s="500"/>
      <c r="BF19" s="500"/>
      <c r="BG19" s="500"/>
      <c r="BH19" s="850"/>
      <c r="BI19" s="850"/>
      <c r="BJ19" s="847"/>
      <c r="BK19" s="500"/>
      <c r="BL19" s="834" t="str">
        <f>IF(WWWW[[#This Row],['#_Water samples_Tested_at_water_source]]="","no test","Tested")</f>
        <v>no test</v>
      </c>
      <c r="BM19" s="834" t="str">
        <f>IF(WWWW[[#This Row],['#_Water samples_Tested_at_HH]]="","no test","Tested")</f>
        <v>no test</v>
      </c>
      <c r="BN19" s="835" t="str">
        <f>IF(AND(WWWW[[#This Row],[Water_testing_at source]]="no test",WWWW[[#This Row],[Water_testing_at HH]]="no test"),"No Test","Tested")</f>
        <v>No Test</v>
      </c>
      <c r="BO19"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9" s="836">
        <f>WWWW[[#This Row],[% HRP1]]*WWWW[[#This Row],[Total PoP ]]</f>
        <v>3095</v>
      </c>
      <c r="BQ19" s="837">
        <f>WWWW[[#This Row],[HRP1]]/500</f>
        <v>6.19</v>
      </c>
      <c r="BR19" s="838">
        <f>1-WWWW[[#This Row],[% HRP1]]</f>
        <v>0</v>
      </c>
      <c r="BS19" s="837">
        <f>WWWW[[#This Row],[%equitable and continuous access to sufficient quantity of safe drinking and domestic water''s GAP]]*WWWW[[#This Row],[Total PoP ]]</f>
        <v>0</v>
      </c>
      <c r="BT19" s="451">
        <f>ROUND(IF(WWWW[[#This Row],[Total PoP ]]&lt;500,1,WWWW[[#This Row],[Total PoP ]]/500),0)</f>
        <v>6</v>
      </c>
      <c r="BU19" s="835">
        <f>IF(WWWW[[#This Row],[Total required water points]]-WWWW[[#This Row],['#Water points coverage]]&lt;0,0,WWWW[[#This Row],[Total required water points]]-WWWW[[#This Row],['#Water points coverage]])</f>
        <v>0</v>
      </c>
      <c r="BV19" s="452">
        <f>WWWW[[#This Row],[HRP2]]/WWWW[[#This Row],[Total PoP ]]</f>
        <v>0.91082390953150238</v>
      </c>
      <c r="BW19"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2819</v>
      </c>
      <c r="BX19" s="455">
        <f>IF(WWWW[[#This Row],['#_Functional_adult_latrines]]="","",WWWW[[#This Row],[Total PoP ]]/WWWW[[#This Row],['#_Functional_adult_latrines]])</f>
        <v>22.107142857142858</v>
      </c>
      <c r="BY19" s="835">
        <f>WWWW[[#This Row],['#_of_latrines_in_TLS/CFS]]*50</f>
        <v>100</v>
      </c>
      <c r="BZ19" s="451">
        <f>IF(WWWW[[#This Row],['#_of_latrines_in_THF]]="",0,WWWW[[#This Row],['#_of_latrines_in_THF]]*50)</f>
        <v>0</v>
      </c>
      <c r="CA19" s="835">
        <f>ROUND(IF(WWWW[[#This Row],[Location Type 1]]="camp",WWWW[[#This Row],[Total PoP ]]/20),0)</f>
        <v>155</v>
      </c>
      <c r="CB19" s="835">
        <f>IF(WWWW[[#This Row],[Total required Latrines]]-WWWW[[#This Row],['#_Existing_latrines]]&lt;0,0,WWWW[[#This Row],[Total required Latrines]]-WWWW[[#This Row],['#_Existing_latrines]])</f>
        <v>0</v>
      </c>
      <c r="CC19" s="838">
        <f>1-WWWW[[#This Row],[% HRP2]]</f>
        <v>8.9176090468497615E-2</v>
      </c>
      <c r="CD19" s="834">
        <f>IF(WWWW[[#This Row],['#_Existing_latrines]]="","NA",(WWWW[[#This Row],['#_Existing_latrines]]-WWWW[[#This Row],['#_Functional_adult_latrines]])/WWWW[[#This Row],['#_Existing_latrines]])</f>
        <v>0.25133689839572193</v>
      </c>
      <c r="CE19"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9"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9" s="835">
        <f>IF(WWWW[[#This Row],['#_of_affected_women_and_girls_receiving_a_sufficient_quantity_of_sanitary_pads]]&gt;WWWW[[#This Row],[Total PoP ]],WWWW[[#This Row],[Total PoP ]],WWWW[[#This Row],['#_of_affected_women_and_girls_receiving_a_sufficient_quantity_of_sanitary_pads]])</f>
        <v>0</v>
      </c>
      <c r="CH19" s="835">
        <f>IF(WWWW[[#This Row],['# People with access to soap]]&gt;WWWW[[#This Row],['# People with access to Sanity Pads]],WWWW[[#This Row],['# People with access to soap]],WWWW[[#This Row],['# People with access to Sanity Pads]])</f>
        <v>0</v>
      </c>
      <c r="CI19"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9" s="838">
        <f>IF(WWWW[[#This Row],[HRP3]]/WWWW[[#This Row],[Total PoP ]]&gt;100%,100%,WWWW[[#This Row],[HRP3]]/WWWW[[#This Row],[Total PoP ]])</f>
        <v>0</v>
      </c>
      <c r="CK19" s="834">
        <f>1-WWWW[[#This Row],[Hygiene Coverage%]]</f>
        <v>1</v>
      </c>
      <c r="CL19" s="830">
        <f>WWWW[[#This Row],['# people reached by regular dedicated hygiene promotion_5]]/WWWW[[#This Row],[Total PoP ]]</f>
        <v>0</v>
      </c>
      <c r="CM19" s="834">
        <f>IF(WWWW[[#This Row],['#_of_affected_households_receiving_a_sufficient_quantity_of_soap]]/WWWW[[#This Row],[Total HH]]&gt;1,1,WWWW[[#This Row],['#_of_affected_households_receiving_a_sufficient_quantity_of_soap]]/WWWW[[#This Row],[Total HH]])</f>
        <v>0</v>
      </c>
      <c r="CN19" s="455" t="str">
        <f>IF(WWWW[[#This Row],['#_students at TLS_CFS]]="","No","Yes")</f>
        <v>No</v>
      </c>
      <c r="CO19" s="452">
        <f>WWWW[[#This Row],[%_of_affected_people_surveyed_who_report_feeling_informed_about_the_different_WASH_services_available_to_them]]</f>
        <v>0</v>
      </c>
      <c r="CP1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9" s="500">
        <f>IF(WWWW[[#This Row],['#_PPL_accessed_water_in_TLS]]&gt;WWWW[[#This Row],['# students access to functioning school latrines_HRP5]],WWWW[[#This Row],['#_PPL_accessed_water_in_TLS]],WWWW[[#This Row],['# students access to functioning school latrines_HRP5]])</f>
        <v>100</v>
      </c>
      <c r="CR19" s="500">
        <f>IF(WWWW[[#This Row],['#_PPL_accessed_water_in_THF]]&gt;WWWW[[#This Row],['# people access to functioning latrines in THF_HRP6]],WWWW[[#This Row],['#_PPL_accessed_water_in_THF]],WWWW[[#This Row],['# people access to functioning latrines in THF_HRP6]])</f>
        <v>0</v>
      </c>
      <c r="CS19" s="826" t="str">
        <f>VLOOKUP(WWWW[[#This Row],[Site Name]],SiteDB6[[Site Name]:[CCCM Management]],6,FALSE)</f>
        <v>Yes</v>
      </c>
      <c r="CT19" s="826">
        <f>VLOOKUP(WWWW[[#This Row],[Site Name]],SiteDB6[[Site Name]:[CCCM Focal Agency]],7,FALSE)</f>
        <v>0</v>
      </c>
      <c r="CU19" s="826" t="str">
        <f>VLOOKUP(WWWW[[#This Row],[Site Name]],SiteDB6[[Site Name]:[Location Type 1]],9,FALSE)</f>
        <v>Camp</v>
      </c>
      <c r="CV19" s="826" t="str">
        <f>VLOOKUP(WWWW[[#This Row],[Site Name]],SiteDB6[[Site Name]:[Type of Accommodation]],10,FALSE)</f>
        <v>Planned Camp</v>
      </c>
      <c r="CW19" s="826" t="str">
        <f>VLOOKUP(WWWW[[#This Row],[Site Name]],SiteDB6[[Site Name]:[Ethnic or GCA/NGCA]],11,FALSE)</f>
        <v>Muslim</v>
      </c>
      <c r="CX19" s="826">
        <f>VLOOKUP(WWWW[[#This Row],[Site Name]],SiteDB6[[Site Name]:[Lat]],12,FALSE)</f>
        <v>20.206778</v>
      </c>
      <c r="CY19" s="826">
        <f>VLOOKUP(WWWW[[#This Row],[Site Name]],SiteDB6[[Site Name]:[Long]],13,FALSE)</f>
        <v>92.774193999999994</v>
      </c>
      <c r="CZ19" s="826" t="str">
        <f>VLOOKUP(WWWW[[#This Row],[Site Name]],SiteDB6[[Site Name]:[Pcode]],3,FALSE)</f>
        <v>MMR012CMP098</v>
      </c>
      <c r="DA19" s="839" t="str">
        <f t="shared" si="0"/>
        <v>Covered</v>
      </c>
      <c r="DB19" s="477">
        <f>VLOOKUP(WWWW[[#This Row],[Site Name]],SiteDB6[[Site Name]:[PWD_Total]],22,FALSE)</f>
        <v>42</v>
      </c>
      <c r="DC19" s="477">
        <f>VLOOKUP(WWWW[[#This Row],[Site Name]],SiteDB6[[Site Name]:[PWD_Total]],23,FALSE)</f>
        <v>432</v>
      </c>
      <c r="DD19" s="477">
        <f>WWWW[[#This Row],['# of Male_People with disabilities]]+WWWW[[#This Row],['# of Female_People with disabilities]]</f>
        <v>474</v>
      </c>
      <c r="DE19" s="826"/>
      <c r="DF19" s="839"/>
      <c r="DG19" s="839"/>
      <c r="DH19" s="839"/>
      <c r="DI19" s="839">
        <f>VLOOKUP(WWWW[[#This Row],[Site Name]],SiteDB6[[Site Name]:[Pop
(CCCM as of Autust 2021)]],16,FALSE)</f>
        <v>777</v>
      </c>
      <c r="DJ19" s="839">
        <f>VLOOKUP(WWWW[[#This Row],[Site Name]],SiteDB6[[Site Name]:[Pop
(CCCM as of Autust 2021)]],17,FALSE)</f>
        <v>4735</v>
      </c>
    </row>
    <row r="20" spans="1:114" hidden="1">
      <c r="A20" s="824" t="s">
        <v>3144</v>
      </c>
      <c r="B20" s="856" t="s">
        <v>2269</v>
      </c>
      <c r="C20" s="856" t="s">
        <v>2269</v>
      </c>
      <c r="D20" s="825" t="s">
        <v>40</v>
      </c>
      <c r="E20" s="856" t="s">
        <v>293</v>
      </c>
      <c r="F20" s="856" t="s">
        <v>294</v>
      </c>
      <c r="G20" s="857" t="s">
        <v>43</v>
      </c>
      <c r="H20" s="825" t="s">
        <v>431</v>
      </c>
      <c r="I20" s="827">
        <v>2728</v>
      </c>
      <c r="J20" s="827">
        <v>13302</v>
      </c>
      <c r="K20" s="684">
        <f>WWWW[[#This Row],[Total PoP ]]/WWWW[[#This Row],[Total HH]]</f>
        <v>4.8760997067448679</v>
      </c>
      <c r="L20" s="828">
        <v>44197</v>
      </c>
      <c r="M20" s="829">
        <v>44592</v>
      </c>
      <c r="N20" s="827"/>
      <c r="O20" s="500">
        <v>205</v>
      </c>
      <c r="P20" s="827">
        <v>226</v>
      </c>
      <c r="Q20" s="500"/>
      <c r="R20" s="500"/>
      <c r="S20" s="827"/>
      <c r="T20" s="827"/>
      <c r="U20" s="500"/>
      <c r="V20" s="450"/>
      <c r="W20" s="500"/>
      <c r="X20" s="450"/>
      <c r="Y20" s="827"/>
      <c r="Z20" s="500"/>
      <c r="AA20" s="500"/>
      <c r="AB20" s="831"/>
      <c r="AC20" s="827">
        <v>546</v>
      </c>
      <c r="AD20" s="827">
        <v>689</v>
      </c>
      <c r="AE20" s="827"/>
      <c r="AF20" s="827"/>
      <c r="AG20" s="830"/>
      <c r="AH20" s="830"/>
      <c r="AI20" s="830"/>
      <c r="AJ20" s="827">
        <v>20</v>
      </c>
      <c r="AK20" s="827">
        <v>120</v>
      </c>
      <c r="AL20" s="827">
        <v>34</v>
      </c>
      <c r="AM20" s="500"/>
      <c r="AN20" s="827" t="s">
        <v>41</v>
      </c>
      <c r="AO20" s="832"/>
      <c r="AP20" s="827"/>
      <c r="AQ20" s="827"/>
      <c r="AR20" s="827"/>
      <c r="AS20" s="827"/>
      <c r="AT20" s="827"/>
      <c r="AU20" s="827"/>
      <c r="AV20" s="450"/>
      <c r="AW20" s="830"/>
      <c r="AX20" s="451">
        <v>2</v>
      </c>
      <c r="AY20" s="840"/>
      <c r="AZ20" s="450"/>
      <c r="BA20" s="450"/>
      <c r="BB20" s="450"/>
      <c r="BC20" s="450"/>
      <c r="BD20" s="450"/>
      <c r="BE20" s="500"/>
      <c r="BF20" s="500"/>
      <c r="BG20" s="500"/>
      <c r="BH20" s="850"/>
      <c r="BI20" s="850"/>
      <c r="BJ20" s="847"/>
      <c r="BK20" s="500"/>
      <c r="BL20" s="834" t="str">
        <f>IF(WWWW[[#This Row],['#_Water samples_Tested_at_water_source]]="","no test","Tested")</f>
        <v>no test</v>
      </c>
      <c r="BM20" s="834" t="str">
        <f>IF(WWWW[[#This Row],['#_Water samples_Tested_at_HH]]="","no test","Tested")</f>
        <v>no test</v>
      </c>
      <c r="BN20" s="835" t="str">
        <f>IF(AND(WWWW[[#This Row],[Water_testing_at source]]="no test",WWWW[[#This Row],[Water_testing_at HH]]="no test"),"No Test","Tested")</f>
        <v>No Test</v>
      </c>
      <c r="BO20"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0" s="836">
        <f>WWWW[[#This Row],[% HRP1]]*WWWW[[#This Row],[Total PoP ]]</f>
        <v>13302</v>
      </c>
      <c r="BQ20" s="837">
        <f>WWWW[[#This Row],[HRP1]]/500</f>
        <v>26.603999999999999</v>
      </c>
      <c r="BR20" s="838">
        <f>1-WWWW[[#This Row],[% HRP1]]</f>
        <v>0</v>
      </c>
      <c r="BS20" s="837">
        <f>WWWW[[#This Row],[%equitable and continuous access to sufficient quantity of safe drinking and domestic water''s GAP]]*WWWW[[#This Row],[Total PoP ]]</f>
        <v>0</v>
      </c>
      <c r="BT20" s="451">
        <f>ROUND(IF(WWWW[[#This Row],[Total PoP ]]&lt;500,1,WWWW[[#This Row],[Total PoP ]]/500),0)</f>
        <v>27</v>
      </c>
      <c r="BU20" s="835">
        <f>IF(WWWW[[#This Row],[Total required water points]]-WWWW[[#This Row],['#Water points coverage]]&lt;0,0,WWWW[[#This Row],[Total required water points]]-WWWW[[#This Row],['#Water points coverage]])</f>
        <v>0.3960000000000008</v>
      </c>
      <c r="BV20" s="452">
        <f>WWWW[[#This Row],[HRP2]]/WWWW[[#This Row],[Total PoP ]]</f>
        <v>0.86002104946624569</v>
      </c>
      <c r="BW20"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11440</v>
      </c>
      <c r="BX20" s="455">
        <f>IF(WWWW[[#This Row],['#_Functional_adult_latrines]]="","",WWWW[[#This Row],[Total PoP ]]/WWWW[[#This Row],['#_Functional_adult_latrines]])</f>
        <v>24.362637362637361</v>
      </c>
      <c r="BY20" s="835">
        <f>WWWW[[#This Row],['#_of_latrines_in_TLS/CFS]]*50</f>
        <v>1700</v>
      </c>
      <c r="BZ20" s="451">
        <f>IF(WWWW[[#This Row],['#_of_latrines_in_THF]]="",0,WWWW[[#This Row],['#_of_latrines_in_THF]]*50)</f>
        <v>0</v>
      </c>
      <c r="CA20" s="835">
        <f>ROUND(IF(WWWW[[#This Row],[Location Type 1]]="camp",WWWW[[#This Row],[Total PoP ]]/20),0)</f>
        <v>665</v>
      </c>
      <c r="CB20" s="835">
        <f>IF(WWWW[[#This Row],[Total required Latrines]]-WWWW[[#This Row],['#_Existing_latrines]]&lt;0,0,WWWW[[#This Row],[Total required Latrines]]-WWWW[[#This Row],['#_Existing_latrines]])</f>
        <v>0</v>
      </c>
      <c r="CC20" s="838">
        <f>1-WWWW[[#This Row],[% HRP2]]</f>
        <v>0.13997895053375431</v>
      </c>
      <c r="CD20" s="834">
        <f>IF(WWWW[[#This Row],['#_Existing_latrines]]="","NA",(WWWW[[#This Row],['#_Existing_latrines]]-WWWW[[#This Row],['#_Functional_adult_latrines]])/WWWW[[#This Row],['#_Existing_latrines]])</f>
        <v>0.20754716981132076</v>
      </c>
      <c r="CE20"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0"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0" s="835">
        <f>IF(WWWW[[#This Row],['#_of_affected_women_and_girls_receiving_a_sufficient_quantity_of_sanitary_pads]]&gt;WWWW[[#This Row],[Total PoP ]],WWWW[[#This Row],[Total PoP ]],WWWW[[#This Row],['#_of_affected_women_and_girls_receiving_a_sufficient_quantity_of_sanitary_pads]])</f>
        <v>0</v>
      </c>
      <c r="CH20" s="835">
        <f>IF(WWWW[[#This Row],['# People with access to soap]]&gt;WWWW[[#This Row],['# People with access to Sanity Pads]],WWWW[[#This Row],['# People with access to soap]],WWWW[[#This Row],['# People with access to Sanity Pads]])</f>
        <v>0</v>
      </c>
      <c r="CI20"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0" s="838">
        <f>IF(WWWW[[#This Row],[HRP3]]/WWWW[[#This Row],[Total PoP ]]&gt;100%,100%,WWWW[[#This Row],[HRP3]]/WWWW[[#This Row],[Total PoP ]])</f>
        <v>0</v>
      </c>
      <c r="CK20" s="834">
        <f>1-WWWW[[#This Row],[Hygiene Coverage%]]</f>
        <v>1</v>
      </c>
      <c r="CL20" s="830">
        <f>WWWW[[#This Row],['# people reached by regular dedicated hygiene promotion_5]]/WWWW[[#This Row],[Total PoP ]]</f>
        <v>0</v>
      </c>
      <c r="CM20" s="834">
        <f>IF(WWWW[[#This Row],['#_of_affected_households_receiving_a_sufficient_quantity_of_soap]]/WWWW[[#This Row],[Total HH]]&gt;1,1,WWWW[[#This Row],['#_of_affected_households_receiving_a_sufficient_quantity_of_soap]]/WWWW[[#This Row],[Total HH]])</f>
        <v>0</v>
      </c>
      <c r="CN20" s="455" t="str">
        <f>IF(WWWW[[#This Row],['#_students at TLS_CFS]]="","No","Yes")</f>
        <v>No</v>
      </c>
      <c r="CO20" s="452">
        <f>WWWW[[#This Row],[%_of_affected_people_surveyed_who_report_feeling_informed_about_the_different_WASH_services_available_to_them]]</f>
        <v>0</v>
      </c>
      <c r="CP2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0" s="500">
        <f>IF(WWWW[[#This Row],['#_PPL_accessed_water_in_TLS]]&gt;WWWW[[#This Row],['# students access to functioning school latrines_HRP5]],WWWW[[#This Row],['#_PPL_accessed_water_in_TLS]],WWWW[[#This Row],['# students access to functioning school latrines_HRP5]])</f>
        <v>1700</v>
      </c>
      <c r="CR20" s="500">
        <f>IF(WWWW[[#This Row],['#_PPL_accessed_water_in_THF]]&gt;WWWW[[#This Row],['# people access to functioning latrines in THF_HRP6]],WWWW[[#This Row],['#_PPL_accessed_water_in_THF]],WWWW[[#This Row],['# people access to functioning latrines in THF_HRP6]])</f>
        <v>0</v>
      </c>
      <c r="CS20" s="826" t="str">
        <f>VLOOKUP(WWWW[[#This Row],[Site Name]],SiteDB6[[Site Name]:[CCCM Management]],6,FALSE)</f>
        <v>Yes</v>
      </c>
      <c r="CT20" s="826">
        <f>VLOOKUP(WWWW[[#This Row],[Site Name]],SiteDB6[[Site Name]:[CCCM Focal Agency]],7,FALSE)</f>
        <v>0</v>
      </c>
      <c r="CU20" s="826" t="str">
        <f>VLOOKUP(WWWW[[#This Row],[Site Name]],SiteDB6[[Site Name]:[Location Type 1]],9,FALSE)</f>
        <v>Camp</v>
      </c>
      <c r="CV20" s="826" t="str">
        <f>VLOOKUP(WWWW[[#This Row],[Site Name]],SiteDB6[[Site Name]:[Type of Accommodation]],10,FALSE)</f>
        <v>Planned Camp</v>
      </c>
      <c r="CW20" s="826" t="str">
        <f>VLOOKUP(WWWW[[#This Row],[Site Name]],SiteDB6[[Site Name]:[Ethnic or GCA/NGCA]],11,FALSE)</f>
        <v>Muslim</v>
      </c>
      <c r="CX20" s="826">
        <f>VLOOKUP(WWWW[[#This Row],[Site Name]],SiteDB6[[Site Name]:[Lat]],12,FALSE)</f>
        <v>20.18994</v>
      </c>
      <c r="CY20" s="826">
        <f>VLOOKUP(WWWW[[#This Row],[Site Name]],SiteDB6[[Site Name]:[Long]],13,FALSE)</f>
        <v>92.798880999999994</v>
      </c>
      <c r="CZ20" s="826" t="str">
        <f>VLOOKUP(WWWW[[#This Row],[Site Name]],SiteDB6[[Site Name]:[Pcode]],3,FALSE)</f>
        <v>MMR012CMP115</v>
      </c>
      <c r="DA20" s="839" t="str">
        <f t="shared" si="0"/>
        <v>Covered</v>
      </c>
      <c r="DB20" s="477">
        <f>VLOOKUP(WWWW[[#This Row],[Site Name]],SiteDB6[[Site Name]:[PWD_Total]],22,FALSE)</f>
        <v>168</v>
      </c>
      <c r="DC20" s="477">
        <f>VLOOKUP(WWWW[[#This Row],[Site Name]],SiteDB6[[Site Name]:[PWD_Total]],23,FALSE)</f>
        <v>1744</v>
      </c>
      <c r="DD20" s="477">
        <f>WWWW[[#This Row],['# of Male_People with disabilities]]+WWWW[[#This Row],['# of Female_People with disabilities]]</f>
        <v>1912</v>
      </c>
      <c r="DE20" s="826"/>
      <c r="DF20" s="839"/>
      <c r="DG20" s="839"/>
      <c r="DH20" s="839"/>
      <c r="DI20" s="839">
        <f>VLOOKUP(WWWW[[#This Row],[Site Name]],SiteDB6[[Site Name]:[Pop
(CCCM as of Autust 2021)]],16,FALSE)</f>
        <v>2640</v>
      </c>
      <c r="DJ20" s="839">
        <f>VLOOKUP(WWWW[[#This Row],[Site Name]],SiteDB6[[Site Name]:[Pop
(CCCM as of Autust 2021)]],17,FALSE)</f>
        <v>15778</v>
      </c>
    </row>
    <row r="21" spans="1:114" hidden="1">
      <c r="A21" s="824" t="s">
        <v>3144</v>
      </c>
      <c r="B21" s="824" t="s">
        <v>286</v>
      </c>
      <c r="C21" s="825" t="s">
        <v>286</v>
      </c>
      <c r="D21" s="825" t="s">
        <v>233</v>
      </c>
      <c r="E21" s="856" t="s">
        <v>293</v>
      </c>
      <c r="F21" s="825" t="s">
        <v>294</v>
      </c>
      <c r="G21" s="857" t="s">
        <v>43</v>
      </c>
      <c r="H21" s="825" t="s">
        <v>429</v>
      </c>
      <c r="I21" s="827">
        <v>2260</v>
      </c>
      <c r="J21" s="827">
        <v>11478</v>
      </c>
      <c r="K21" s="684">
        <f>WWWW[[#This Row],[Total PoP ]]/WWWW[[#This Row],[Total HH]]</f>
        <v>5.0787610619469028</v>
      </c>
      <c r="L21" s="828">
        <v>44348</v>
      </c>
      <c r="M21" s="829">
        <v>44712</v>
      </c>
      <c r="N21" s="827"/>
      <c r="O21" s="500">
        <v>199</v>
      </c>
      <c r="P21" s="500">
        <v>223</v>
      </c>
      <c r="Q21" s="500"/>
      <c r="R21" s="500"/>
      <c r="S21" s="827"/>
      <c r="T21" s="827"/>
      <c r="U21" s="827"/>
      <c r="V21" s="830"/>
      <c r="W21" s="500"/>
      <c r="X21" s="450"/>
      <c r="Y21" s="827"/>
      <c r="Z21" s="500"/>
      <c r="AA21" s="500"/>
      <c r="AB21" s="831"/>
      <c r="AC21" s="500">
        <v>828</v>
      </c>
      <c r="AD21" s="500">
        <v>828</v>
      </c>
      <c r="AE21" s="500"/>
      <c r="AF21" s="500"/>
      <c r="AG21" s="830"/>
      <c r="AH21" s="830"/>
      <c r="AI21" s="830"/>
      <c r="AJ21" s="827">
        <v>2</v>
      </c>
      <c r="AK21" s="827">
        <v>46</v>
      </c>
      <c r="AL21" s="827"/>
      <c r="AM21" s="500"/>
      <c r="AN21" s="827" t="s">
        <v>41</v>
      </c>
      <c r="AO21" s="832"/>
      <c r="AP21" s="827"/>
      <c r="AQ21" s="827"/>
      <c r="AR21" s="827"/>
      <c r="AS21" s="827"/>
      <c r="AT21" s="827"/>
      <c r="AU21" s="827"/>
      <c r="AV21" s="450"/>
      <c r="AW21" s="830"/>
      <c r="AX21" s="451"/>
      <c r="AY21" s="833"/>
      <c r="AZ21" s="450"/>
      <c r="BA21" s="450"/>
      <c r="BB21" s="450"/>
      <c r="BC21" s="450"/>
      <c r="BD21" s="450"/>
      <c r="BE21" s="500"/>
      <c r="BF21" s="500"/>
      <c r="BG21" s="500"/>
      <c r="BH21" s="850"/>
      <c r="BI21" s="850"/>
      <c r="BJ21" s="847"/>
      <c r="BK21" s="500"/>
      <c r="BL21" s="834" t="str">
        <f>IF(WWWW[[#This Row],['#_Water samples_Tested_at_water_source]]="","no test","Tested")</f>
        <v>no test</v>
      </c>
      <c r="BM21" s="834" t="str">
        <f>IF(WWWW[[#This Row],['#_Water samples_Tested_at_HH]]="","no test","Tested")</f>
        <v>no test</v>
      </c>
      <c r="BN21" s="835" t="str">
        <f>IF(AND(WWWW[[#This Row],[Water_testing_at source]]="no test",WWWW[[#This Row],[Water_testing_at HH]]="no test"),"No Test","Tested")</f>
        <v>No Test</v>
      </c>
      <c r="BO21"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1" s="836">
        <f>WWWW[[#This Row],[% HRP1]]*WWWW[[#This Row],[Total PoP ]]</f>
        <v>11478</v>
      </c>
      <c r="BQ21" s="837">
        <f>WWWW[[#This Row],[HRP1]]/500</f>
        <v>22.956</v>
      </c>
      <c r="BR21" s="838">
        <f>1-WWWW[[#This Row],[% HRP1]]</f>
        <v>0</v>
      </c>
      <c r="BS21" s="837">
        <f>WWWW[[#This Row],[%equitable and continuous access to sufficient quantity of safe drinking and domestic water''s GAP]]*WWWW[[#This Row],[Total PoP ]]</f>
        <v>0</v>
      </c>
      <c r="BT21" s="451">
        <f>ROUND(IF(WWWW[[#This Row],[Total PoP ]]&lt;500,1,WWWW[[#This Row],[Total PoP ]]/500),0)</f>
        <v>23</v>
      </c>
      <c r="BU21" s="835">
        <f>IF(WWWW[[#This Row],[Total required water points]]-WWWW[[#This Row],['#Water points coverage]]&lt;0,0,WWWW[[#This Row],[Total required water points]]-WWWW[[#This Row],['#Water points coverage]])</f>
        <v>4.4000000000000483E-2</v>
      </c>
      <c r="BV21" s="452">
        <f>WWWW[[#This Row],[HRP2]]/WWWW[[#This Row],[Total PoP ]]</f>
        <v>1</v>
      </c>
      <c r="BW21"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11478</v>
      </c>
      <c r="BX21" s="455">
        <f>IF(WWWW[[#This Row],['#_Functional_adult_latrines]]="","",WWWW[[#This Row],[Total PoP ]]/WWWW[[#This Row],['#_Functional_adult_latrines]])</f>
        <v>13.862318840579711</v>
      </c>
      <c r="BY21" s="835">
        <f>WWWW[[#This Row],['#_of_latrines_in_TLS/CFS]]*50</f>
        <v>0</v>
      </c>
      <c r="BZ21" s="451">
        <f>IF(WWWW[[#This Row],['#_of_latrines_in_THF]]="",0,WWWW[[#This Row],['#_of_latrines_in_THF]]*50)</f>
        <v>0</v>
      </c>
      <c r="CA21" s="835">
        <f>ROUND(IF(WWWW[[#This Row],[Location Type 1]]="camp",WWWW[[#This Row],[Total PoP ]]/20),0)</f>
        <v>574</v>
      </c>
      <c r="CB21" s="835">
        <f>IF(WWWW[[#This Row],[Total required Latrines]]-WWWW[[#This Row],['#_Existing_latrines]]&lt;0,0,WWWW[[#This Row],[Total required Latrines]]-WWWW[[#This Row],['#_Existing_latrines]])</f>
        <v>0</v>
      </c>
      <c r="CC21" s="838">
        <f>1-WWWW[[#This Row],[% HRP2]]</f>
        <v>0</v>
      </c>
      <c r="CD21" s="834">
        <f>IF(WWWW[[#This Row],['#_Existing_latrines]]="","NA",(WWWW[[#This Row],['#_Existing_latrines]]-WWWW[[#This Row],['#_Functional_adult_latrines]])/WWWW[[#This Row],['#_Existing_latrines]])</f>
        <v>0</v>
      </c>
      <c r="CE21"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1"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1" s="835">
        <f>IF(WWWW[[#This Row],['#_of_affected_women_and_girls_receiving_a_sufficient_quantity_of_sanitary_pads]]&gt;WWWW[[#This Row],[Total PoP ]],WWWW[[#This Row],[Total PoP ]],WWWW[[#This Row],['#_of_affected_women_and_girls_receiving_a_sufficient_quantity_of_sanitary_pads]])</f>
        <v>0</v>
      </c>
      <c r="CH21" s="835">
        <f>IF(WWWW[[#This Row],['# People with access to soap]]&gt;WWWW[[#This Row],['# People with access to Sanity Pads]],WWWW[[#This Row],['# People with access to soap]],WWWW[[#This Row],['# People with access to Sanity Pads]])</f>
        <v>0</v>
      </c>
      <c r="CI21"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1" s="838">
        <f>IF(WWWW[[#This Row],[HRP3]]/WWWW[[#This Row],[Total PoP ]]&gt;100%,100%,WWWW[[#This Row],[HRP3]]/WWWW[[#This Row],[Total PoP ]])</f>
        <v>0</v>
      </c>
      <c r="CK21" s="834">
        <f>1-WWWW[[#This Row],[Hygiene Coverage%]]</f>
        <v>1</v>
      </c>
      <c r="CL21" s="830">
        <f>WWWW[[#This Row],['# people reached by regular dedicated hygiene promotion_5]]/WWWW[[#This Row],[Total PoP ]]</f>
        <v>0</v>
      </c>
      <c r="CM21" s="834">
        <f>IF(WWWW[[#This Row],['#_of_affected_households_receiving_a_sufficient_quantity_of_soap]]/WWWW[[#This Row],[Total HH]]&gt;1,1,WWWW[[#This Row],['#_of_affected_households_receiving_a_sufficient_quantity_of_soap]]/WWWW[[#This Row],[Total HH]])</f>
        <v>0</v>
      </c>
      <c r="CN21" s="455" t="str">
        <f>IF(WWWW[[#This Row],['#_students at TLS_CFS]]="","No","Yes")</f>
        <v>No</v>
      </c>
      <c r="CO21" s="452">
        <f>WWWW[[#This Row],[%_of_affected_people_surveyed_who_report_feeling_informed_about_the_different_WASH_services_available_to_them]]</f>
        <v>0</v>
      </c>
      <c r="CP2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1" s="500">
        <f>IF(WWWW[[#This Row],['#_PPL_accessed_water_in_TLS]]&gt;WWWW[[#This Row],['# students access to functioning school latrines_HRP5]],WWWW[[#This Row],['#_PPL_accessed_water_in_TLS]],WWWW[[#This Row],['# students access to functioning school latrines_HRP5]])</f>
        <v>0</v>
      </c>
      <c r="CR21" s="500">
        <f>IF(WWWW[[#This Row],['#_PPL_accessed_water_in_THF]]&gt;WWWW[[#This Row],['# people access to functioning latrines in THF_HRP6]],WWWW[[#This Row],['#_PPL_accessed_water_in_THF]],WWWW[[#This Row],['# people access to functioning latrines in THF_HRP6]])</f>
        <v>0</v>
      </c>
      <c r="CS21" s="826" t="str">
        <f>VLOOKUP(WWWW[[#This Row],[Site Name]],SiteDB6[[Site Name]:[CCCM Management]],6,FALSE)</f>
        <v>Yes</v>
      </c>
      <c r="CT21" s="826">
        <f>VLOOKUP(WWWW[[#This Row],[Site Name]],SiteDB6[[Site Name]:[CCCM Focal Agency]],7,FALSE)</f>
        <v>0</v>
      </c>
      <c r="CU21" s="826" t="str">
        <f>VLOOKUP(WWWW[[#This Row],[Site Name]],SiteDB6[[Site Name]:[Location Type 1]],9,FALSE)</f>
        <v>Camp</v>
      </c>
      <c r="CV21" s="826" t="str">
        <f>VLOOKUP(WWWW[[#This Row],[Site Name]],SiteDB6[[Site Name]:[Type of Accommodation]],10,FALSE)</f>
        <v>Planned Camp</v>
      </c>
      <c r="CW21" s="826" t="str">
        <f>VLOOKUP(WWWW[[#This Row],[Site Name]],SiteDB6[[Site Name]:[Ethnic or GCA/NGCA]],11,FALSE)</f>
        <v>Muslim</v>
      </c>
      <c r="CX21" s="826">
        <f>VLOOKUP(WWWW[[#This Row],[Site Name]],SiteDB6[[Site Name]:[Lat]],12,FALSE)</f>
        <v>20.185092000000001</v>
      </c>
      <c r="CY21" s="826">
        <f>VLOOKUP(WWWW[[#This Row],[Site Name]],SiteDB6[[Site Name]:[Long]],13,FALSE)</f>
        <v>92.802295999999998</v>
      </c>
      <c r="CZ21" s="826" t="str">
        <f>VLOOKUP(WWWW[[#This Row],[Site Name]],SiteDB6[[Site Name]:[Pcode]],3,FALSE)</f>
        <v>MMR012CMP116</v>
      </c>
      <c r="DA21" s="839" t="str">
        <f t="shared" si="0"/>
        <v>Covered</v>
      </c>
      <c r="DB21" s="477">
        <f>VLOOKUP(WWWW[[#This Row],[Site Name]],SiteDB6[[Site Name]:[PWD_Total]],22,FALSE)</f>
        <v>223</v>
      </c>
      <c r="DC21" s="477">
        <f>VLOOKUP(WWWW[[#This Row],[Site Name]],SiteDB6[[Site Name]:[PWD_Total]],23,FALSE)</f>
        <v>1507</v>
      </c>
      <c r="DD21" s="477">
        <f>WWWW[[#This Row],['# of Male_People with disabilities]]+WWWW[[#This Row],['# of Female_People with disabilities]]</f>
        <v>1730</v>
      </c>
      <c r="DE21" s="826"/>
      <c r="DF21" s="839"/>
      <c r="DG21" s="839"/>
      <c r="DH21" s="839"/>
      <c r="DI21" s="839">
        <f>VLOOKUP(WWWW[[#This Row],[Site Name]],SiteDB6[[Site Name]:[Pop
(CCCM as of Autust 2021)]],16,FALSE)</f>
        <v>2275</v>
      </c>
      <c r="DJ21" s="839">
        <f>VLOOKUP(WWWW[[#This Row],[Site Name]],SiteDB6[[Site Name]:[Pop
(CCCM as of Autust 2021)]],17,FALSE)</f>
        <v>12341</v>
      </c>
    </row>
    <row r="22" spans="1:114" hidden="1">
      <c r="A22" s="824" t="s">
        <v>3144</v>
      </c>
      <c r="B22" s="824" t="s">
        <v>286</v>
      </c>
      <c r="C22" s="825" t="s">
        <v>286</v>
      </c>
      <c r="D22" s="825" t="s">
        <v>233</v>
      </c>
      <c r="E22" s="856" t="s">
        <v>293</v>
      </c>
      <c r="F22" s="825" t="s">
        <v>294</v>
      </c>
      <c r="G22" s="857" t="s">
        <v>43</v>
      </c>
      <c r="H22" s="825" t="s">
        <v>2273</v>
      </c>
      <c r="I22" s="827">
        <v>400</v>
      </c>
      <c r="J22" s="827">
        <v>2446</v>
      </c>
      <c r="K22" s="684">
        <f>WWWW[[#This Row],[Total PoP ]]/WWWW[[#This Row],[Total HH]]</f>
        <v>6.1150000000000002</v>
      </c>
      <c r="L22" s="828">
        <v>44348</v>
      </c>
      <c r="M22" s="829">
        <v>44712</v>
      </c>
      <c r="N22" s="827"/>
      <c r="O22" s="500">
        <v>41</v>
      </c>
      <c r="P22" s="500">
        <v>42</v>
      </c>
      <c r="Q22" s="500"/>
      <c r="R22" s="500"/>
      <c r="S22" s="827"/>
      <c r="T22" s="827"/>
      <c r="U22" s="827"/>
      <c r="V22" s="830"/>
      <c r="W22" s="500"/>
      <c r="X22" s="450"/>
      <c r="Y22" s="500"/>
      <c r="Z22" s="500"/>
      <c r="AA22" s="500"/>
      <c r="AB22" s="831"/>
      <c r="AC22" s="500">
        <v>150</v>
      </c>
      <c r="AD22" s="500">
        <v>150</v>
      </c>
      <c r="AE22" s="500"/>
      <c r="AF22" s="500"/>
      <c r="AG22" s="830"/>
      <c r="AH22" s="830"/>
      <c r="AI22" s="830"/>
      <c r="AJ22" s="827">
        <v>3</v>
      </c>
      <c r="AK22" s="827">
        <v>9</v>
      </c>
      <c r="AL22" s="827"/>
      <c r="AM22" s="500"/>
      <c r="AN22" s="827" t="s">
        <v>41</v>
      </c>
      <c r="AO22" s="832"/>
      <c r="AP22" s="827"/>
      <c r="AQ22" s="827"/>
      <c r="AR22" s="827"/>
      <c r="AS22" s="827"/>
      <c r="AT22" s="827"/>
      <c r="AU22" s="827"/>
      <c r="AV22" s="450"/>
      <c r="AW22" s="830"/>
      <c r="AX22" s="451"/>
      <c r="AY22" s="833"/>
      <c r="AZ22" s="450"/>
      <c r="BA22" s="450"/>
      <c r="BB22" s="450"/>
      <c r="BC22" s="450"/>
      <c r="BD22" s="450"/>
      <c r="BE22" s="500"/>
      <c r="BF22" s="500"/>
      <c r="BG22" s="500"/>
      <c r="BH22" s="850"/>
      <c r="BI22" s="850"/>
      <c r="BJ22" s="847"/>
      <c r="BK22" s="500"/>
      <c r="BL22" s="834" t="str">
        <f>IF(WWWW[[#This Row],['#_Water samples_Tested_at_water_source]]="","no test","Tested")</f>
        <v>no test</v>
      </c>
      <c r="BM22" s="834" t="str">
        <f>IF(WWWW[[#This Row],['#_Water samples_Tested_at_HH]]="","no test","Tested")</f>
        <v>no test</v>
      </c>
      <c r="BN22" s="835" t="str">
        <f>IF(AND(WWWW[[#This Row],[Water_testing_at source]]="no test",WWWW[[#This Row],[Water_testing_at HH]]="no test"),"No Test","Tested")</f>
        <v>No Test</v>
      </c>
      <c r="BO22"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2" s="836">
        <f>WWWW[[#This Row],[% HRP1]]*WWWW[[#This Row],[Total PoP ]]</f>
        <v>2446</v>
      </c>
      <c r="BQ22" s="837">
        <f>WWWW[[#This Row],[HRP1]]/500</f>
        <v>4.8920000000000003</v>
      </c>
      <c r="BR22" s="838">
        <f>1-WWWW[[#This Row],[% HRP1]]</f>
        <v>0</v>
      </c>
      <c r="BS22" s="837">
        <f>WWWW[[#This Row],[%equitable and continuous access to sufficient quantity of safe drinking and domestic water''s GAP]]*WWWW[[#This Row],[Total PoP ]]</f>
        <v>0</v>
      </c>
      <c r="BT22" s="451">
        <f>ROUND(IF(WWWW[[#This Row],[Total PoP ]]&lt;500,1,WWWW[[#This Row],[Total PoP ]]/500),0)</f>
        <v>5</v>
      </c>
      <c r="BU22" s="835">
        <f>IF(WWWW[[#This Row],[Total required water points]]-WWWW[[#This Row],['#Water points coverage]]&lt;0,0,WWWW[[#This Row],[Total required water points]]-WWWW[[#This Row],['#Water points coverage]])</f>
        <v>0.10799999999999965</v>
      </c>
      <c r="BV22" s="452">
        <f>WWWW[[#This Row],[HRP2]]/WWWW[[#This Row],[Total PoP ]]</f>
        <v>1</v>
      </c>
      <c r="BW22"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2446</v>
      </c>
      <c r="BX22" s="455">
        <f>IF(WWWW[[#This Row],['#_Functional_adult_latrines]]="","",WWWW[[#This Row],[Total PoP ]]/WWWW[[#This Row],['#_Functional_adult_latrines]])</f>
        <v>16.306666666666668</v>
      </c>
      <c r="BY22" s="835">
        <f>WWWW[[#This Row],['#_of_latrines_in_TLS/CFS]]*50</f>
        <v>0</v>
      </c>
      <c r="BZ22" s="451">
        <f>IF(WWWW[[#This Row],['#_of_latrines_in_THF]]="",0,WWWW[[#This Row],['#_of_latrines_in_THF]]*50)</f>
        <v>0</v>
      </c>
      <c r="CA22" s="835">
        <f>ROUND(IF(WWWW[[#This Row],[Location Type 1]]="camp",WWWW[[#This Row],[Total PoP ]]/20),0)</f>
        <v>122</v>
      </c>
      <c r="CB22" s="835">
        <f>IF(WWWW[[#This Row],[Total required Latrines]]-WWWW[[#This Row],['#_Existing_latrines]]&lt;0,0,WWWW[[#This Row],[Total required Latrines]]-WWWW[[#This Row],['#_Existing_latrines]])</f>
        <v>0</v>
      </c>
      <c r="CC22" s="838">
        <f>1-WWWW[[#This Row],[% HRP2]]</f>
        <v>0</v>
      </c>
      <c r="CD22" s="834">
        <f>IF(WWWW[[#This Row],['#_Existing_latrines]]="","NA",(WWWW[[#This Row],['#_Existing_latrines]]-WWWW[[#This Row],['#_Functional_adult_latrines]])/WWWW[[#This Row],['#_Existing_latrines]])</f>
        <v>0</v>
      </c>
      <c r="CE22"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2"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2" s="835">
        <f>IF(WWWW[[#This Row],['#_of_affected_women_and_girls_receiving_a_sufficient_quantity_of_sanitary_pads]]&gt;WWWW[[#This Row],[Total PoP ]],WWWW[[#This Row],[Total PoP ]],WWWW[[#This Row],['#_of_affected_women_and_girls_receiving_a_sufficient_quantity_of_sanitary_pads]])</f>
        <v>0</v>
      </c>
      <c r="CH22" s="835">
        <f>IF(WWWW[[#This Row],['# People with access to soap]]&gt;WWWW[[#This Row],['# People with access to Sanity Pads]],WWWW[[#This Row],['# People with access to soap]],WWWW[[#This Row],['# People with access to Sanity Pads]])</f>
        <v>0</v>
      </c>
      <c r="CI22"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2" s="838">
        <f>IF(WWWW[[#This Row],[HRP3]]/WWWW[[#This Row],[Total PoP ]]&gt;100%,100%,WWWW[[#This Row],[HRP3]]/WWWW[[#This Row],[Total PoP ]])</f>
        <v>0</v>
      </c>
      <c r="CK22" s="834">
        <f>1-WWWW[[#This Row],[Hygiene Coverage%]]</f>
        <v>1</v>
      </c>
      <c r="CL22" s="830">
        <f>WWWW[[#This Row],['# people reached by regular dedicated hygiene promotion_5]]/WWWW[[#This Row],[Total PoP ]]</f>
        <v>0</v>
      </c>
      <c r="CM22" s="834">
        <f>IF(WWWW[[#This Row],['#_of_affected_households_receiving_a_sufficient_quantity_of_soap]]/WWWW[[#This Row],[Total HH]]&gt;1,1,WWWW[[#This Row],['#_of_affected_households_receiving_a_sufficient_quantity_of_soap]]/WWWW[[#This Row],[Total HH]])</f>
        <v>0</v>
      </c>
      <c r="CN22" s="455" t="str">
        <f>IF(WWWW[[#This Row],['#_students at TLS_CFS]]="","No","Yes")</f>
        <v>No</v>
      </c>
      <c r="CO22" s="452">
        <f>WWWW[[#This Row],[%_of_affected_people_surveyed_who_report_feeling_informed_about_the_different_WASH_services_available_to_them]]</f>
        <v>0</v>
      </c>
      <c r="CP2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2" s="500">
        <f>IF(WWWW[[#This Row],['#_PPL_accessed_water_in_TLS]]&gt;WWWW[[#This Row],['# students access to functioning school latrines_HRP5]],WWWW[[#This Row],['#_PPL_accessed_water_in_TLS]],WWWW[[#This Row],['# students access to functioning school latrines_HRP5]])</f>
        <v>0</v>
      </c>
      <c r="CR22" s="500">
        <f>IF(WWWW[[#This Row],['#_PPL_accessed_water_in_THF]]&gt;WWWW[[#This Row],['# people access to functioning latrines in THF_HRP6]],WWWW[[#This Row],['#_PPL_accessed_water_in_THF]],WWWW[[#This Row],['# people access to functioning latrines in THF_HRP6]])</f>
        <v>0</v>
      </c>
      <c r="CS22" s="826">
        <f>VLOOKUP(WWWW[[#This Row],[Site Name]],SiteDB6[[Site Name]:[CCCM Management]],6,FALSE)</f>
        <v>0</v>
      </c>
      <c r="CT22" s="826">
        <f>VLOOKUP(WWWW[[#This Row],[Site Name]],SiteDB6[[Site Name]:[CCCM Focal Agency]],7,FALSE)</f>
        <v>0</v>
      </c>
      <c r="CU22" s="826" t="str">
        <f>VLOOKUP(WWWW[[#This Row],[Site Name]],SiteDB6[[Site Name]:[Location Type 1]],9,FALSE)</f>
        <v>Camp</v>
      </c>
      <c r="CV22" s="826" t="str">
        <f>VLOOKUP(WWWW[[#This Row],[Site Name]],SiteDB6[[Site Name]:[Type of Accommodation]],10,FALSE)</f>
        <v>Planned Camp</v>
      </c>
      <c r="CW22" s="826" t="str">
        <f>VLOOKUP(WWWW[[#This Row],[Site Name]],SiteDB6[[Site Name]:[Ethnic or GCA/NGCA]],11,FALSE)</f>
        <v>Muslim</v>
      </c>
      <c r="CX22" s="826">
        <f>VLOOKUP(WWWW[[#This Row],[Site Name]],SiteDB6[[Site Name]:[Lat]],12,FALSE)</f>
        <v>20.207284999999999</v>
      </c>
      <c r="CY22" s="826">
        <f>VLOOKUP(WWWW[[#This Row],[Site Name]],SiteDB6[[Site Name]:[Long]],13,FALSE)</f>
        <v>92.788177000000005</v>
      </c>
      <c r="CZ22" s="826" t="str">
        <f>VLOOKUP(WWWW[[#This Row],[Site Name]],SiteDB6[[Site Name]:[Pcode]],3,FALSE)</f>
        <v>MMR012CMP045</v>
      </c>
      <c r="DA22" s="839" t="str">
        <f t="shared" si="0"/>
        <v>Covered</v>
      </c>
      <c r="DB22" s="477">
        <f>VLOOKUP(WWWW[[#This Row],[Site Name]],SiteDB6[[Site Name]:[PWD_Total]],22,FALSE)</f>
        <v>0</v>
      </c>
      <c r="DC22" s="477">
        <f>VLOOKUP(WWWW[[#This Row],[Site Name]],SiteDB6[[Site Name]:[PWD_Total]],23,FALSE)</f>
        <v>0</v>
      </c>
      <c r="DD22" s="477">
        <f>WWWW[[#This Row],['# of Male_People with disabilities]]+WWWW[[#This Row],['# of Female_People with disabilities]]</f>
        <v>0</v>
      </c>
      <c r="DE22" s="826"/>
      <c r="DF22" s="839"/>
      <c r="DG22" s="839"/>
      <c r="DH22" s="839"/>
      <c r="DI22" s="839">
        <f>VLOOKUP(WWWW[[#This Row],[Site Name]],SiteDB6[[Site Name]:[Pop
(CCCM as of Autust 2021)]],16,FALSE)</f>
        <v>0</v>
      </c>
      <c r="DJ22" s="839">
        <f>VLOOKUP(WWWW[[#This Row],[Site Name]],SiteDB6[[Site Name]:[Pop
(CCCM as of Autust 2021)]],17,FALSE)</f>
        <v>0</v>
      </c>
    </row>
    <row r="23" spans="1:114" hidden="1">
      <c r="A23" s="824" t="s">
        <v>3144</v>
      </c>
      <c r="B23" s="856" t="s">
        <v>2620</v>
      </c>
      <c r="C23" s="856" t="s">
        <v>2620</v>
      </c>
      <c r="D23" s="825" t="s">
        <v>40</v>
      </c>
      <c r="E23" s="856" t="s">
        <v>293</v>
      </c>
      <c r="F23" s="856" t="s">
        <v>294</v>
      </c>
      <c r="G23" s="857" t="s">
        <v>43</v>
      </c>
      <c r="H23" s="856" t="s">
        <v>438</v>
      </c>
      <c r="I23" s="827">
        <v>2280</v>
      </c>
      <c r="J23" s="827">
        <v>11564</v>
      </c>
      <c r="K23" s="684">
        <f>WWWW[[#This Row],[Total PoP ]]/WWWW[[#This Row],[Total HH]]</f>
        <v>5.0719298245614031</v>
      </c>
      <c r="L23" s="828">
        <v>44197</v>
      </c>
      <c r="M23" s="829">
        <v>44592</v>
      </c>
      <c r="N23" s="827"/>
      <c r="O23" s="500">
        <v>192</v>
      </c>
      <c r="P23" s="827">
        <v>193</v>
      </c>
      <c r="Q23" s="500"/>
      <c r="R23" s="500"/>
      <c r="S23" s="827"/>
      <c r="T23" s="827"/>
      <c r="U23" s="500"/>
      <c r="V23" s="450"/>
      <c r="W23" s="500"/>
      <c r="X23" s="450"/>
      <c r="Y23" s="827"/>
      <c r="Z23" s="500"/>
      <c r="AA23" s="500"/>
      <c r="AB23" s="831"/>
      <c r="AC23" s="827">
        <v>430</v>
      </c>
      <c r="AD23" s="827">
        <v>520</v>
      </c>
      <c r="AE23" s="827"/>
      <c r="AF23" s="827"/>
      <c r="AG23" s="830"/>
      <c r="AH23" s="830"/>
      <c r="AI23" s="830"/>
      <c r="AJ23" s="827">
        <v>12</v>
      </c>
      <c r="AK23" s="827">
        <v>51</v>
      </c>
      <c r="AL23" s="827">
        <v>40</v>
      </c>
      <c r="AM23" s="500"/>
      <c r="AN23" s="827" t="s">
        <v>41</v>
      </c>
      <c r="AO23" s="832"/>
      <c r="AP23" s="827"/>
      <c r="AQ23" s="827"/>
      <c r="AR23" s="827"/>
      <c r="AS23" s="827"/>
      <c r="AT23" s="827"/>
      <c r="AU23" s="827"/>
      <c r="AV23" s="450"/>
      <c r="AW23" s="830"/>
      <c r="AX23" s="451">
        <v>32</v>
      </c>
      <c r="AY23" s="840"/>
      <c r="AZ23" s="450"/>
      <c r="BA23" s="450"/>
      <c r="BB23" s="450"/>
      <c r="BC23" s="450"/>
      <c r="BD23" s="450"/>
      <c r="BE23" s="500"/>
      <c r="BF23" s="500"/>
      <c r="BG23" s="500"/>
      <c r="BH23" s="850"/>
      <c r="BI23" s="850"/>
      <c r="BJ23" s="847"/>
      <c r="BK23" s="500"/>
      <c r="BL23" s="834" t="str">
        <f>IF(WWWW[[#This Row],['#_Water samples_Tested_at_water_source]]="","no test","Tested")</f>
        <v>no test</v>
      </c>
      <c r="BM23" s="834" t="str">
        <f>IF(WWWW[[#This Row],['#_Water samples_Tested_at_HH]]="","no test","Tested")</f>
        <v>no test</v>
      </c>
      <c r="BN23" s="835" t="str">
        <f>IF(AND(WWWW[[#This Row],[Water_testing_at source]]="no test",WWWW[[#This Row],[Water_testing_at HH]]="no test"),"No Test","Tested")</f>
        <v>No Test</v>
      </c>
      <c r="BO23"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3" s="836">
        <f>WWWW[[#This Row],[% HRP1]]*WWWW[[#This Row],[Total PoP ]]</f>
        <v>11564</v>
      </c>
      <c r="BQ23" s="837">
        <f>WWWW[[#This Row],[HRP1]]/500</f>
        <v>23.128</v>
      </c>
      <c r="BR23" s="838">
        <f>1-WWWW[[#This Row],[% HRP1]]</f>
        <v>0</v>
      </c>
      <c r="BS23" s="837">
        <f>WWWW[[#This Row],[%equitable and continuous access to sufficient quantity of safe drinking and domestic water''s GAP]]*WWWW[[#This Row],[Total PoP ]]</f>
        <v>0</v>
      </c>
      <c r="BT23" s="451">
        <f>ROUND(IF(WWWW[[#This Row],[Total PoP ]]&lt;500,1,WWWW[[#This Row],[Total PoP ]]/500),0)</f>
        <v>23</v>
      </c>
      <c r="BU23" s="835">
        <f>IF(WWWW[[#This Row],[Total required water points]]-WWWW[[#This Row],['#Water points coverage]]&lt;0,0,WWWW[[#This Row],[Total required water points]]-WWWW[[#This Row],['#Water points coverage]])</f>
        <v>0</v>
      </c>
      <c r="BV23" s="452">
        <f>WWWW[[#This Row],[HRP2]]/WWWW[[#This Row],[Total PoP ]]</f>
        <v>0.76885160843998612</v>
      </c>
      <c r="BW23"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8891</v>
      </c>
      <c r="BX23" s="455">
        <f>IF(WWWW[[#This Row],['#_Functional_adult_latrines]]="","",WWWW[[#This Row],[Total PoP ]]/WWWW[[#This Row],['#_Functional_adult_latrines]])</f>
        <v>26.893023255813954</v>
      </c>
      <c r="BY23" s="835">
        <f>WWWW[[#This Row],['#_of_latrines_in_TLS/CFS]]*50</f>
        <v>2000</v>
      </c>
      <c r="BZ23" s="451">
        <f>IF(WWWW[[#This Row],['#_of_latrines_in_THF]]="",0,WWWW[[#This Row],['#_of_latrines_in_THF]]*50)</f>
        <v>0</v>
      </c>
      <c r="CA23" s="835">
        <f>ROUND(IF(WWWW[[#This Row],[Location Type 1]]="camp",WWWW[[#This Row],[Total PoP ]]/20),0)</f>
        <v>578</v>
      </c>
      <c r="CB23" s="835">
        <f>IF(WWWW[[#This Row],[Total required Latrines]]-WWWW[[#This Row],['#_Existing_latrines]]&lt;0,0,WWWW[[#This Row],[Total required Latrines]]-WWWW[[#This Row],['#_Existing_latrines]])</f>
        <v>58</v>
      </c>
      <c r="CC23" s="838">
        <f>1-WWWW[[#This Row],[% HRP2]]</f>
        <v>0.23114839156001388</v>
      </c>
      <c r="CD23" s="834">
        <f>IF(WWWW[[#This Row],['#_Existing_latrines]]="","NA",(WWWW[[#This Row],['#_Existing_latrines]]-WWWW[[#This Row],['#_Functional_adult_latrines]])/WWWW[[#This Row],['#_Existing_latrines]])</f>
        <v>0.17307692307692307</v>
      </c>
      <c r="CE23"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3"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3" s="835">
        <f>IF(WWWW[[#This Row],['#_of_affected_women_and_girls_receiving_a_sufficient_quantity_of_sanitary_pads]]&gt;WWWW[[#This Row],[Total PoP ]],WWWW[[#This Row],[Total PoP ]],WWWW[[#This Row],['#_of_affected_women_and_girls_receiving_a_sufficient_quantity_of_sanitary_pads]])</f>
        <v>0</v>
      </c>
      <c r="CH23" s="835">
        <f>IF(WWWW[[#This Row],['# People with access to soap]]&gt;WWWW[[#This Row],['# People with access to Sanity Pads]],WWWW[[#This Row],['# People with access to soap]],WWWW[[#This Row],['# People with access to Sanity Pads]])</f>
        <v>0</v>
      </c>
      <c r="CI23"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3" s="838">
        <f>IF(WWWW[[#This Row],[HRP3]]/WWWW[[#This Row],[Total PoP ]]&gt;100%,100%,WWWW[[#This Row],[HRP3]]/WWWW[[#This Row],[Total PoP ]])</f>
        <v>0</v>
      </c>
      <c r="CK23" s="834">
        <f>1-WWWW[[#This Row],[Hygiene Coverage%]]</f>
        <v>1</v>
      </c>
      <c r="CL23" s="830">
        <f>WWWW[[#This Row],['# people reached by regular dedicated hygiene promotion_5]]/WWWW[[#This Row],[Total PoP ]]</f>
        <v>0</v>
      </c>
      <c r="CM23" s="834">
        <f>IF(WWWW[[#This Row],['#_of_affected_households_receiving_a_sufficient_quantity_of_soap]]/WWWW[[#This Row],[Total HH]]&gt;1,1,WWWW[[#This Row],['#_of_affected_households_receiving_a_sufficient_quantity_of_soap]]/WWWW[[#This Row],[Total HH]])</f>
        <v>0</v>
      </c>
      <c r="CN23" s="455" t="str">
        <f>IF(WWWW[[#This Row],['#_students at TLS_CFS]]="","No","Yes")</f>
        <v>No</v>
      </c>
      <c r="CO23" s="452">
        <f>WWWW[[#This Row],[%_of_affected_people_surveyed_who_report_feeling_informed_about_the_different_WASH_services_available_to_them]]</f>
        <v>0</v>
      </c>
      <c r="CP2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3" s="500">
        <f>IF(WWWW[[#This Row],['#_PPL_accessed_water_in_TLS]]&gt;WWWW[[#This Row],['# students access to functioning school latrines_HRP5]],WWWW[[#This Row],['#_PPL_accessed_water_in_TLS]],WWWW[[#This Row],['# students access to functioning school latrines_HRP5]])</f>
        <v>2000</v>
      </c>
      <c r="CR23" s="500">
        <f>IF(WWWW[[#This Row],['#_PPL_accessed_water_in_THF]]&gt;WWWW[[#This Row],['# people access to functioning latrines in THF_HRP6]],WWWW[[#This Row],['#_PPL_accessed_water_in_THF]],WWWW[[#This Row],['# people access to functioning latrines in THF_HRP6]])</f>
        <v>0</v>
      </c>
      <c r="CS23" s="826" t="str">
        <f>VLOOKUP(WWWW[[#This Row],[Site Name]],SiteDB6[[Site Name]:[CCCM Management]],6,FALSE)</f>
        <v>Yes</v>
      </c>
      <c r="CT23" s="826">
        <f>VLOOKUP(WWWW[[#This Row],[Site Name]],SiteDB6[[Site Name]:[CCCM Focal Agency]],7,FALSE)</f>
        <v>0</v>
      </c>
      <c r="CU23" s="826" t="str">
        <f>VLOOKUP(WWWW[[#This Row],[Site Name]],SiteDB6[[Site Name]:[Location Type 1]],9,FALSE)</f>
        <v>Camp</v>
      </c>
      <c r="CV23" s="826" t="str">
        <f>VLOOKUP(WWWW[[#This Row],[Site Name]],SiteDB6[[Site Name]:[Type of Accommodation]],10,FALSE)</f>
        <v>Planned Camp</v>
      </c>
      <c r="CW23" s="826" t="str">
        <f>VLOOKUP(WWWW[[#This Row],[Site Name]],SiteDB6[[Site Name]:[Ethnic or GCA/NGCA]],11,FALSE)</f>
        <v>Muslim</v>
      </c>
      <c r="CX23" s="826">
        <f>VLOOKUP(WWWW[[#This Row],[Site Name]],SiteDB6[[Site Name]:[Lat]],12,FALSE)</f>
        <v>20.202525000000001</v>
      </c>
      <c r="CY23" s="826">
        <f>VLOOKUP(WWWW[[#This Row],[Site Name]],SiteDB6[[Site Name]:[Long]],13,FALSE)</f>
        <v>92.792479999999998</v>
      </c>
      <c r="CZ23" s="826" t="str">
        <f>VLOOKUP(WWWW[[#This Row],[Site Name]],SiteDB6[[Site Name]:[Pcode]],3,FALSE)</f>
        <v>MMR012CMP045</v>
      </c>
      <c r="DA23" s="839" t="str">
        <f t="shared" si="0"/>
        <v>Covered</v>
      </c>
      <c r="DB23" s="477">
        <f>VLOOKUP(WWWW[[#This Row],[Site Name]],SiteDB6[[Site Name]:[PWD_Total]],22,FALSE)</f>
        <v>114</v>
      </c>
      <c r="DC23" s="477">
        <f>VLOOKUP(WWWW[[#This Row],[Site Name]],SiteDB6[[Site Name]:[PWD_Total]],23,FALSE)</f>
        <v>1144</v>
      </c>
      <c r="DD23" s="477">
        <f>WWWW[[#This Row],['# of Male_People with disabilities]]+WWWW[[#This Row],['# of Female_People with disabilities]]</f>
        <v>1258</v>
      </c>
      <c r="DE23" s="826"/>
      <c r="DF23" s="839"/>
      <c r="DG23" s="839"/>
      <c r="DH23" s="839"/>
      <c r="DI23" s="839">
        <f>VLOOKUP(WWWW[[#This Row],[Site Name]],SiteDB6[[Site Name]:[Pop
(CCCM as of Autust 2021)]],16,FALSE)</f>
        <v>2678</v>
      </c>
      <c r="DJ23" s="839">
        <f>VLOOKUP(WWWW[[#This Row],[Site Name]],SiteDB6[[Site Name]:[Pop
(CCCM as of Autust 2021)]],17,FALSE)</f>
        <v>14788</v>
      </c>
    </row>
    <row r="24" spans="1:114" hidden="1">
      <c r="A24" s="824" t="s">
        <v>3144</v>
      </c>
      <c r="B24" s="855" t="s">
        <v>286</v>
      </c>
      <c r="C24" s="855" t="s">
        <v>286</v>
      </c>
      <c r="D24" s="856" t="s">
        <v>3003</v>
      </c>
      <c r="E24" s="856" t="s">
        <v>293</v>
      </c>
      <c r="F24" s="825" t="s">
        <v>401</v>
      </c>
      <c r="G24" s="857" t="s">
        <v>43</v>
      </c>
      <c r="H24" s="825" t="s">
        <v>404</v>
      </c>
      <c r="I24" s="858">
        <v>729</v>
      </c>
      <c r="J24" s="858">
        <v>2516</v>
      </c>
      <c r="K24" s="684">
        <f>WWWW[[#This Row],[Total PoP ]]/WWWW[[#This Row],[Total HH]]</f>
        <v>3.4513031550068587</v>
      </c>
      <c r="L24" s="859">
        <v>44348</v>
      </c>
      <c r="M24" s="860">
        <v>44712</v>
      </c>
      <c r="N24" s="858"/>
      <c r="O24" s="500"/>
      <c r="P24" s="858"/>
      <c r="Q24" s="500">
        <v>15</v>
      </c>
      <c r="R24" s="500">
        <v>16</v>
      </c>
      <c r="S24" s="858"/>
      <c r="T24" s="858">
        <v>2516</v>
      </c>
      <c r="U24" s="858"/>
      <c r="V24" s="861"/>
      <c r="W24" s="858"/>
      <c r="X24" s="861"/>
      <c r="Y24" s="858"/>
      <c r="Z24" s="500"/>
      <c r="AA24" s="500"/>
      <c r="AB24" s="862" t="s">
        <v>3157</v>
      </c>
      <c r="AC24" s="858">
        <v>362</v>
      </c>
      <c r="AD24" s="858">
        <v>358</v>
      </c>
      <c r="AE24" s="858">
        <v>87</v>
      </c>
      <c r="AF24" s="858">
        <v>119</v>
      </c>
      <c r="AG24" s="861"/>
      <c r="AH24" s="861"/>
      <c r="AI24" s="861"/>
      <c r="AJ24" s="858">
        <v>1</v>
      </c>
      <c r="AK24" s="858"/>
      <c r="AL24" s="858"/>
      <c r="AM24" s="500"/>
      <c r="AN24" s="858" t="s">
        <v>41</v>
      </c>
      <c r="AO24" s="863"/>
      <c r="AP24" s="858">
        <v>1125</v>
      </c>
      <c r="AQ24" s="858">
        <v>1725</v>
      </c>
      <c r="AR24" s="858">
        <v>372</v>
      </c>
      <c r="AS24" s="858">
        <v>446</v>
      </c>
      <c r="AT24" s="858">
        <v>729</v>
      </c>
      <c r="AU24" s="858">
        <v>771</v>
      </c>
      <c r="AV24" s="450">
        <v>1</v>
      </c>
      <c r="AW24" s="861"/>
      <c r="AX24" s="451"/>
      <c r="AY24" s="864"/>
      <c r="AZ24" s="450"/>
      <c r="BA24" s="450"/>
      <c r="BB24" s="450"/>
      <c r="BC24" s="450"/>
      <c r="BD24" s="450"/>
      <c r="BE24" s="500"/>
      <c r="BF24" s="500"/>
      <c r="BG24" s="500"/>
      <c r="BH24" s="500"/>
      <c r="BI24" s="500"/>
      <c r="BJ24" s="500"/>
      <c r="BK24" s="500"/>
      <c r="BL24" s="865" t="str">
        <f>IF(WWWW[[#This Row],['#_Water samples_Tested_at_water_source]]="","no test","Tested")</f>
        <v>no test</v>
      </c>
      <c r="BM24" s="865" t="str">
        <f>IF(WWWW[[#This Row],['#_Water samples_Tested_at_HH]]="","no test","Tested")</f>
        <v>no test</v>
      </c>
      <c r="BN24" s="866" t="str">
        <f>IF(AND(WWWW[[#This Row],[Water_testing_at source]]="no test",WWWW[[#This Row],[Water_testing_at HH]]="no test"),"No Test","Tested")</f>
        <v>No Test</v>
      </c>
      <c r="BO24" s="86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4" s="867">
        <f>WWWW[[#This Row],[% HRP1]]*WWWW[[#This Row],[Total PoP ]]</f>
        <v>2516</v>
      </c>
      <c r="BQ24" s="868">
        <f>WWWW[[#This Row],[HRP1]]/500</f>
        <v>5.032</v>
      </c>
      <c r="BR24" s="869">
        <f>1-WWWW[[#This Row],[% HRP1]]</f>
        <v>0</v>
      </c>
      <c r="BS24" s="868">
        <f>WWWW[[#This Row],[%equitable and continuous access to sufficient quantity of safe drinking and domestic water''s GAP]]*WWWW[[#This Row],[Total PoP ]]</f>
        <v>0</v>
      </c>
      <c r="BT24" s="451">
        <f>ROUND(IF(WWWW[[#This Row],[Total PoP ]]&lt;500,1,WWWW[[#This Row],[Total PoP ]]/500),0)</f>
        <v>5</v>
      </c>
      <c r="BU24" s="866">
        <f>IF(WWWW[[#This Row],[Total required water points]]-WWWW[[#This Row],['#Water points coverage]]&lt;0,0,WWWW[[#This Row],[Total required water points]]-WWWW[[#This Row],['#Water points coverage]])</f>
        <v>0</v>
      </c>
      <c r="BV24" s="452">
        <f>WWWW[[#This Row],[HRP2]]/WWWW[[#This Row],[Total PoP ]]</f>
        <v>1</v>
      </c>
      <c r="BW24" s="86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BX24" s="455">
        <f>IF(WWWW[[#This Row],['#_Functional_adult_latrines]]="","",WWWW[[#This Row],[Total PoP ]]/WWWW[[#This Row],['#_Functional_adult_latrines]])</f>
        <v>6.9502762430939224</v>
      </c>
      <c r="BY24" s="866">
        <f>WWWW[[#This Row],['#_of_latrines_in_TLS/CFS]]*50</f>
        <v>0</v>
      </c>
      <c r="BZ24" s="451">
        <f>IF(WWWW[[#This Row],['#_of_latrines_in_THF]]="",0,WWWW[[#This Row],['#_of_latrines_in_THF]]*50)</f>
        <v>0</v>
      </c>
      <c r="CA24" s="866">
        <f>ROUND(IF(WWWW[[#This Row],[Location Type 1]]="camp",WWWW[[#This Row],[Total PoP ]]/20),0)</f>
        <v>126</v>
      </c>
      <c r="CB24" s="866">
        <f>IF(WWWW[[#This Row],[Total required Latrines]]-WWWW[[#This Row],['#_Existing_latrines]]&lt;0,0,WWWW[[#This Row],[Total required Latrines]]-WWWW[[#This Row],['#_Existing_latrines]])</f>
        <v>0</v>
      </c>
      <c r="CC24" s="869">
        <f>1-WWWW[[#This Row],[% HRP2]]</f>
        <v>0</v>
      </c>
      <c r="CD24" s="865">
        <f>IF(WWWW[[#This Row],['#_Existing_latrines]]="","NA",(WWWW[[#This Row],['#_Existing_latrines]]-WWWW[[#This Row],['#_Functional_adult_latrines]])/WWWW[[#This Row],['#_Existing_latrines]])</f>
        <v>-1.11731843575419E-2</v>
      </c>
      <c r="CE24" s="86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2516</v>
      </c>
      <c r="CF24" s="86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G24" s="866">
        <f>IF(WWWW[[#This Row],['#_of_affected_women_and_girls_receiving_a_sufficient_quantity_of_sanitary_pads]]&gt;WWWW[[#This Row],[Total PoP ]],WWWW[[#This Row],[Total PoP ]],WWWW[[#This Row],['#_of_affected_women_and_girls_receiving_a_sufficient_quantity_of_sanitary_pads]])</f>
        <v>771</v>
      </c>
      <c r="CH24" s="866">
        <f>IF(WWWW[[#This Row],['# People with access to soap]]&gt;WWWW[[#This Row],['# People with access to Sanity Pads]],WWWW[[#This Row],['# People with access to soap]],WWWW[[#This Row],['# People with access to Sanity Pads]])</f>
        <v>2516</v>
      </c>
      <c r="CI24" s="866">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J24" s="869">
        <f>IF(WWWW[[#This Row],[HRP3]]/WWWW[[#This Row],[Total PoP ]]&gt;100%,100%,WWWW[[#This Row],[HRP3]]/WWWW[[#This Row],[Total PoP ]])</f>
        <v>1</v>
      </c>
      <c r="CK24" s="865">
        <f>1-WWWW[[#This Row],[Hygiene Coverage%]]</f>
        <v>0</v>
      </c>
      <c r="CL24" s="861">
        <f>WWWW[[#This Row],['# people reached by regular dedicated hygiene promotion_5]]/WWWW[[#This Row],[Total PoP ]]</f>
        <v>1</v>
      </c>
      <c r="CM24" s="865">
        <f>IF(WWWW[[#This Row],['#_of_affected_households_receiving_a_sufficient_quantity_of_soap]]/WWWW[[#This Row],[Total HH]]&gt;1,1,WWWW[[#This Row],['#_of_affected_households_receiving_a_sufficient_quantity_of_soap]]/WWWW[[#This Row],[Total HH]])</f>
        <v>1</v>
      </c>
      <c r="CN24" s="455" t="str">
        <f>IF(WWWW[[#This Row],['#_students at TLS_CFS]]="","No","Yes")</f>
        <v>No</v>
      </c>
      <c r="CO24" s="452">
        <f>WWWW[[#This Row],[%_of_affected_people_surveyed_who_report_feeling_informed_about_the_different_WASH_services_available_to_them]]</f>
        <v>0</v>
      </c>
      <c r="CP2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4" s="500">
        <f>IF(WWWW[[#This Row],['#_PPL_accessed_water_in_TLS]]&gt;WWWW[[#This Row],['# students access to functioning school latrines_HRP5]],WWWW[[#This Row],['#_PPL_accessed_water_in_TLS]],WWWW[[#This Row],['# students access to functioning school latrines_HRP5]])</f>
        <v>0</v>
      </c>
      <c r="CR24" s="500">
        <f>IF(WWWW[[#This Row],['#_PPL_accessed_water_in_THF]]&gt;WWWW[[#This Row],['# people access to functioning latrines in THF_HRP6]],WWWW[[#This Row],['#_PPL_accessed_water_in_THF]],WWWW[[#This Row],['# people access to functioning latrines in THF_HRP6]])</f>
        <v>0</v>
      </c>
      <c r="CS24" s="857" t="str">
        <f>VLOOKUP(WWWW[[#This Row],[Site Name]],SiteDB6[[Site Name]:[CCCM Management]],6,FALSE)</f>
        <v>Yes</v>
      </c>
      <c r="CT24" s="857" t="str">
        <f>VLOOKUP(WWWW[[#This Row],[Site Name]],SiteDB6[[Site Name]:[CCCM Focal Agency]],7,FALSE)</f>
        <v>DRC</v>
      </c>
      <c r="CU24" s="857" t="str">
        <f>VLOOKUP(WWWW[[#This Row],[Site Name]],SiteDB6[[Site Name]:[Location Type 1]],9,FALSE)</f>
        <v>Camp</v>
      </c>
      <c r="CV24" s="857" t="str">
        <f>VLOOKUP(WWWW[[#This Row],[Site Name]],SiteDB6[[Site Name]:[Type of Accommodation]],10,FALSE)</f>
        <v>Planned Camp</v>
      </c>
      <c r="CW24" s="857" t="str">
        <f>VLOOKUP(WWWW[[#This Row],[Site Name]],SiteDB6[[Site Name]:[Ethnic or GCA/NGCA]],11,FALSE)</f>
        <v>Muslim</v>
      </c>
      <c r="CX24" s="857">
        <f>VLOOKUP(WWWW[[#This Row],[Site Name]],SiteDB6[[Site Name]:[Lat]],12,FALSE)</f>
        <v>20.064226000000001</v>
      </c>
      <c r="CY24" s="857">
        <f>VLOOKUP(WWWW[[#This Row],[Site Name]],SiteDB6[[Site Name]:[Long]],13,FALSE)</f>
        <v>92.993758999999997</v>
      </c>
      <c r="CZ24" s="857" t="str">
        <f>VLOOKUP(WWWW[[#This Row],[Site Name]],SiteDB6[[Site Name]:[Pcode]],3,FALSE)</f>
        <v>MMR012CMP019</v>
      </c>
      <c r="DA24" s="870" t="str">
        <f t="shared" si="0"/>
        <v>Covered</v>
      </c>
      <c r="DB24" s="477">
        <f>VLOOKUP(WWWW[[#This Row],[Site Name]],SiteDB6[[Site Name]:[PWD_Total]],22,FALSE)</f>
        <v>159</v>
      </c>
      <c r="DC24" s="477">
        <f>VLOOKUP(WWWW[[#This Row],[Site Name]],SiteDB6[[Site Name]:[PWD_Total]],23,FALSE)</f>
        <v>361</v>
      </c>
      <c r="DD24" s="477">
        <f>WWWW[[#This Row],['# of Male_People with disabilities]]+WWWW[[#This Row],['# of Female_People with disabilities]]</f>
        <v>520</v>
      </c>
      <c r="DE24" s="857"/>
      <c r="DF24" s="870"/>
      <c r="DG24" s="870"/>
      <c r="DH24" s="870"/>
      <c r="DI24" s="870">
        <f>VLOOKUP(WWWW[[#This Row],[Site Name]],SiteDB6[[Site Name]:[Pop
(CCCM as of Autust 2021)]],16,FALSE)</f>
        <v>682</v>
      </c>
      <c r="DJ24" s="870">
        <f>VLOOKUP(WWWW[[#This Row],[Site Name]],SiteDB6[[Site Name]:[Pop
(CCCM as of Autust 2021)]],17,FALSE)</f>
        <v>2588</v>
      </c>
    </row>
    <row r="25" spans="1:114" hidden="1">
      <c r="A25" s="824" t="s">
        <v>3144</v>
      </c>
      <c r="B25" s="856" t="s">
        <v>397</v>
      </c>
      <c r="C25" s="856" t="s">
        <v>397</v>
      </c>
      <c r="D25" s="825" t="s">
        <v>3003</v>
      </c>
      <c r="E25" s="856" t="s">
        <v>293</v>
      </c>
      <c r="F25" s="856" t="s">
        <v>398</v>
      </c>
      <c r="G25" s="857" t="s">
        <v>43</v>
      </c>
      <c r="H25" s="856" t="s">
        <v>399</v>
      </c>
      <c r="I25" s="827">
        <v>716</v>
      </c>
      <c r="J25" s="827">
        <v>2920</v>
      </c>
      <c r="K25" s="684">
        <f>WWWW[[#This Row],[Total PoP ]]/WWWW[[#This Row],[Total HH]]</f>
        <v>4.0782122905027931</v>
      </c>
      <c r="L25" s="828">
        <v>43952</v>
      </c>
      <c r="M25" s="829">
        <v>44316</v>
      </c>
      <c r="N25" s="827"/>
      <c r="O25" s="500"/>
      <c r="P25" s="827"/>
      <c r="Q25" s="500">
        <v>6</v>
      </c>
      <c r="R25" s="500">
        <v>6</v>
      </c>
      <c r="S25" s="827"/>
      <c r="T25" s="827"/>
      <c r="U25" s="827"/>
      <c r="V25" s="830"/>
      <c r="W25" s="827"/>
      <c r="X25" s="830"/>
      <c r="Y25" s="827"/>
      <c r="Z25" s="500"/>
      <c r="AA25" s="500"/>
      <c r="AB25" s="831"/>
      <c r="AC25" s="827">
        <v>642</v>
      </c>
      <c r="AD25" s="827">
        <v>642</v>
      </c>
      <c r="AE25" s="827"/>
      <c r="AF25" s="827"/>
      <c r="AG25" s="830"/>
      <c r="AH25" s="830"/>
      <c r="AI25" s="830"/>
      <c r="AJ25" s="827">
        <v>6</v>
      </c>
      <c r="AK25" s="827"/>
      <c r="AL25" s="827">
        <v>4</v>
      </c>
      <c r="AM25" s="500">
        <v>1</v>
      </c>
      <c r="AN25" s="827" t="s">
        <v>125</v>
      </c>
      <c r="AO25" s="832"/>
      <c r="AP25" s="827"/>
      <c r="AQ25" s="827"/>
      <c r="AR25" s="827"/>
      <c r="AS25" s="827"/>
      <c r="AT25" s="827"/>
      <c r="AU25" s="827"/>
      <c r="AV25" s="450"/>
      <c r="AW25" s="830"/>
      <c r="AX25" s="451"/>
      <c r="AY25" s="833"/>
      <c r="AZ25" s="450"/>
      <c r="BA25" s="450"/>
      <c r="BB25" s="450"/>
      <c r="BC25" s="450"/>
      <c r="BD25" s="450"/>
      <c r="BE25" s="500"/>
      <c r="BF25" s="500"/>
      <c r="BG25" s="500"/>
      <c r="BH25" s="850"/>
      <c r="BI25" s="850"/>
      <c r="BJ25" s="847"/>
      <c r="BK25" s="500"/>
      <c r="BL25" s="834" t="str">
        <f>IF(WWWW[[#This Row],['#_Water samples_Tested_at_water_source]]="","no test","Tested")</f>
        <v>no test</v>
      </c>
      <c r="BM25" s="834" t="str">
        <f>IF(WWWW[[#This Row],['#_Water samples_Tested_at_HH]]="","no test","Tested")</f>
        <v>no test</v>
      </c>
      <c r="BN25" s="835" t="str">
        <f>IF(AND(WWWW[[#This Row],[Water_testing_at source]]="no test",WWWW[[#This Row],[Water_testing_at HH]]="no test"),"No Test","Tested")</f>
        <v>No Test</v>
      </c>
      <c r="BO25"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25" s="836">
        <f>WWWW[[#This Row],[% HRP1]]*WWWW[[#This Row],[Total PoP ]]</f>
        <v>1500.0000000000002</v>
      </c>
      <c r="BQ25" s="837">
        <f>WWWW[[#This Row],[HRP1]]/500</f>
        <v>3.0000000000000004</v>
      </c>
      <c r="BR25" s="838">
        <f>1-WWWW[[#This Row],[% HRP1]]</f>
        <v>0.48630136986301364</v>
      </c>
      <c r="BS25" s="837">
        <f>WWWW[[#This Row],[%equitable and continuous access to sufficient quantity of safe drinking and domestic water''s GAP]]*WWWW[[#This Row],[Total PoP ]]</f>
        <v>1419.9999999999998</v>
      </c>
      <c r="BT25" s="451">
        <f>ROUND(IF(WWWW[[#This Row],[Total PoP ]]&lt;500,1,WWWW[[#This Row],[Total PoP ]]/500),0)</f>
        <v>6</v>
      </c>
      <c r="BU25" s="835">
        <f>IF(WWWW[[#This Row],[Total required water points]]-WWWW[[#This Row],['#Water points coverage]]&lt;0,0,WWWW[[#This Row],[Total required water points]]-WWWW[[#This Row],['#Water points coverage]])</f>
        <v>2.9999999999999996</v>
      </c>
      <c r="BV25" s="452">
        <f>WWWW[[#This Row],[HRP2]]/WWWW[[#This Row],[Total PoP ]]</f>
        <v>1</v>
      </c>
      <c r="BW25"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25" s="455">
        <f>IF(WWWW[[#This Row],['#_Functional_adult_latrines]]="","",WWWW[[#This Row],[Total PoP ]]/WWWW[[#This Row],['#_Functional_adult_latrines]])</f>
        <v>4.5482866043613708</v>
      </c>
      <c r="BY25" s="835">
        <f>WWWW[[#This Row],['#_of_latrines_in_TLS/CFS]]*50</f>
        <v>200</v>
      </c>
      <c r="BZ25" s="451">
        <f>IF(WWWW[[#This Row],['#_of_latrines_in_THF]]="",0,WWWW[[#This Row],['#_of_latrines_in_THF]]*50)</f>
        <v>50</v>
      </c>
      <c r="CA25" s="835">
        <f>ROUND(IF(WWWW[[#This Row],[Location Type 1]]="camp",WWWW[[#This Row],[Total PoP ]]/20),0)</f>
        <v>146</v>
      </c>
      <c r="CB25" s="835">
        <f>IF(WWWW[[#This Row],[Total required Latrines]]-WWWW[[#This Row],['#_Existing_latrines]]&lt;0,0,WWWW[[#This Row],[Total required Latrines]]-WWWW[[#This Row],['#_Existing_latrines]])</f>
        <v>0</v>
      </c>
      <c r="CC25" s="838">
        <f>1-WWWW[[#This Row],[% HRP2]]</f>
        <v>0</v>
      </c>
      <c r="CD25" s="834">
        <f>IF(WWWW[[#This Row],['#_Existing_latrines]]="","NA",(WWWW[[#This Row],['#_Existing_latrines]]-WWWW[[#This Row],['#_Functional_adult_latrines]])/WWWW[[#This Row],['#_Existing_latrines]])</f>
        <v>0</v>
      </c>
      <c r="CE25"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5"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5" s="835">
        <f>IF(WWWW[[#This Row],['#_of_affected_women_and_girls_receiving_a_sufficient_quantity_of_sanitary_pads]]&gt;WWWW[[#This Row],[Total PoP ]],WWWW[[#This Row],[Total PoP ]],WWWW[[#This Row],['#_of_affected_women_and_girls_receiving_a_sufficient_quantity_of_sanitary_pads]])</f>
        <v>0</v>
      </c>
      <c r="CH25" s="835">
        <f>IF(WWWW[[#This Row],['# People with access to soap]]&gt;WWWW[[#This Row],['# People with access to Sanity Pads]],WWWW[[#This Row],['# People with access to soap]],WWWW[[#This Row],['# People with access to Sanity Pads]])</f>
        <v>0</v>
      </c>
      <c r="CI25"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5" s="838">
        <f>IF(WWWW[[#This Row],[HRP3]]/WWWW[[#This Row],[Total PoP ]]&gt;100%,100%,WWWW[[#This Row],[HRP3]]/WWWW[[#This Row],[Total PoP ]])</f>
        <v>0</v>
      </c>
      <c r="CK25" s="834">
        <f>1-WWWW[[#This Row],[Hygiene Coverage%]]</f>
        <v>1</v>
      </c>
      <c r="CL25" s="830">
        <f>WWWW[[#This Row],['# people reached by regular dedicated hygiene promotion_5]]/WWWW[[#This Row],[Total PoP ]]</f>
        <v>0</v>
      </c>
      <c r="CM25" s="834">
        <f>IF(WWWW[[#This Row],['#_of_affected_households_receiving_a_sufficient_quantity_of_soap]]/WWWW[[#This Row],[Total HH]]&gt;1,1,WWWW[[#This Row],['#_of_affected_households_receiving_a_sufficient_quantity_of_soap]]/WWWW[[#This Row],[Total HH]])</f>
        <v>0</v>
      </c>
      <c r="CN25" s="455" t="str">
        <f>IF(WWWW[[#This Row],['#_students at TLS_CFS]]="","No","Yes")</f>
        <v>No</v>
      </c>
      <c r="CO25" s="452">
        <f>WWWW[[#This Row],[%_of_affected_people_surveyed_who_report_feeling_informed_about_the_different_WASH_services_available_to_them]]</f>
        <v>0</v>
      </c>
      <c r="CP2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5" s="500">
        <f>IF(WWWW[[#This Row],['#_PPL_accessed_water_in_TLS]]&gt;WWWW[[#This Row],['# students access to functioning school latrines_HRP5]],WWWW[[#This Row],['#_PPL_accessed_water_in_TLS]],WWWW[[#This Row],['# students access to functioning school latrines_HRP5]])</f>
        <v>200</v>
      </c>
      <c r="CR25" s="500">
        <f>IF(WWWW[[#This Row],['#_PPL_accessed_water_in_THF]]&gt;WWWW[[#This Row],['# people access to functioning latrines in THF_HRP6]],WWWW[[#This Row],['#_PPL_accessed_water_in_THF]],WWWW[[#This Row],['# people access to functioning latrines in THF_HRP6]])</f>
        <v>50</v>
      </c>
      <c r="CS25" s="826" t="str">
        <f>VLOOKUP(WWWW[[#This Row],[Site Name]],SiteDB6[[Site Name]:[CCCM Management]],6,FALSE)</f>
        <v>Yes</v>
      </c>
      <c r="CT25" s="826" t="str">
        <f>VLOOKUP(WWWW[[#This Row],[Site Name]],SiteDB6[[Site Name]:[CCCM Focal Agency]],7,FALSE)</f>
        <v>RI</v>
      </c>
      <c r="CU25" s="826" t="str">
        <f>VLOOKUP(WWWW[[#This Row],[Site Name]],SiteDB6[[Site Name]:[Location Type 1]],9,FALSE)</f>
        <v>Camp</v>
      </c>
      <c r="CV25" s="826" t="str">
        <f>VLOOKUP(WWWW[[#This Row],[Site Name]],SiteDB6[[Site Name]:[Type of Accommodation]],10,FALSE)</f>
        <v>Planned Camp</v>
      </c>
      <c r="CW25" s="826" t="str">
        <f>VLOOKUP(WWWW[[#This Row],[Site Name]],SiteDB6[[Site Name]:[Ethnic or GCA/NGCA]],11,FALSE)</f>
        <v>Muslim</v>
      </c>
      <c r="CX25" s="826">
        <f>VLOOKUP(WWWW[[#This Row],[Site Name]],SiteDB6[[Site Name]:[Lat]],12,FALSE)</f>
        <v>20.037655000000001</v>
      </c>
      <c r="CY25" s="826">
        <f>VLOOKUP(WWWW[[#This Row],[Site Name]],SiteDB6[[Site Name]:[Long]],13,FALSE)</f>
        <v>93.370037999999994</v>
      </c>
      <c r="CZ25" s="826" t="str">
        <f>VLOOKUP(WWWW[[#This Row],[Site Name]],SiteDB6[[Site Name]:[Pcode]],3,FALSE)</f>
        <v>MMR012CMP014</v>
      </c>
      <c r="DA25" s="839" t="str">
        <f t="shared" si="0"/>
        <v>Covered</v>
      </c>
      <c r="DB25" s="477">
        <f>VLOOKUP(WWWW[[#This Row],[Site Name]],SiteDB6[[Site Name]:[PWD_Total]],22,FALSE)</f>
        <v>73</v>
      </c>
      <c r="DC25" s="477">
        <f>VLOOKUP(WWWW[[#This Row],[Site Name]],SiteDB6[[Site Name]:[PWD_Total]],23,FALSE)</f>
        <v>318</v>
      </c>
      <c r="DD25" s="477">
        <f>WWWW[[#This Row],['# of Male_People with disabilities]]+WWWW[[#This Row],['# of Female_People with disabilities]]</f>
        <v>391</v>
      </c>
      <c r="DE25" s="826"/>
      <c r="DF25" s="839"/>
      <c r="DG25" s="839"/>
      <c r="DH25" s="839"/>
      <c r="DI25" s="839">
        <f>VLOOKUP(WWWW[[#This Row],[Site Name]],SiteDB6[[Site Name]:[Pop
(CCCM as of Autust 2021)]],16,FALSE)</f>
        <v>747</v>
      </c>
      <c r="DJ25" s="839">
        <f>VLOOKUP(WWWW[[#This Row],[Site Name]],SiteDB6[[Site Name]:[Pop
(CCCM as of Autust 2021)]],17,FALSE)</f>
        <v>3495</v>
      </c>
    </row>
    <row r="26" spans="1:114" hidden="1">
      <c r="A26" s="824" t="s">
        <v>3144</v>
      </c>
      <c r="B26" s="856" t="s">
        <v>2270</v>
      </c>
      <c r="C26" s="856" t="s">
        <v>2270</v>
      </c>
      <c r="D26" s="825" t="s">
        <v>40</v>
      </c>
      <c r="E26" s="856" t="s">
        <v>293</v>
      </c>
      <c r="F26" s="856" t="s">
        <v>294</v>
      </c>
      <c r="G26" s="857" t="s">
        <v>43</v>
      </c>
      <c r="H26" s="856" t="s">
        <v>421</v>
      </c>
      <c r="I26" s="827">
        <v>1139</v>
      </c>
      <c r="J26" s="827">
        <v>6016</v>
      </c>
      <c r="K26" s="684">
        <f>WWWW[[#This Row],[Total PoP ]]/WWWW[[#This Row],[Total HH]]</f>
        <v>5.2818261633011412</v>
      </c>
      <c r="L26" s="828">
        <v>44197</v>
      </c>
      <c r="M26" s="829">
        <v>44592</v>
      </c>
      <c r="N26" s="827"/>
      <c r="O26" s="500">
        <v>39</v>
      </c>
      <c r="P26" s="827">
        <v>42</v>
      </c>
      <c r="Q26" s="500"/>
      <c r="R26" s="500"/>
      <c r="S26" s="827"/>
      <c r="T26" s="827"/>
      <c r="U26" s="500"/>
      <c r="V26" s="450"/>
      <c r="W26" s="827"/>
      <c r="X26" s="830"/>
      <c r="Y26" s="827"/>
      <c r="Z26" s="500"/>
      <c r="AA26" s="500"/>
      <c r="AB26" s="831"/>
      <c r="AC26" s="827">
        <v>218</v>
      </c>
      <c r="AD26" s="827">
        <v>253</v>
      </c>
      <c r="AE26" s="827"/>
      <c r="AF26" s="827"/>
      <c r="AG26" s="830"/>
      <c r="AH26" s="830"/>
      <c r="AI26" s="830"/>
      <c r="AJ26" s="827"/>
      <c r="AK26" s="827">
        <v>26</v>
      </c>
      <c r="AL26" s="827">
        <v>2</v>
      </c>
      <c r="AM26" s="500"/>
      <c r="AN26" s="827" t="s">
        <v>41</v>
      </c>
      <c r="AO26" s="832"/>
      <c r="AP26" s="827"/>
      <c r="AQ26" s="827"/>
      <c r="AR26" s="827"/>
      <c r="AS26" s="827"/>
      <c r="AT26" s="827"/>
      <c r="AU26" s="827"/>
      <c r="AV26" s="450"/>
      <c r="AW26" s="830"/>
      <c r="AX26" s="451">
        <v>0</v>
      </c>
      <c r="AY26" s="840"/>
      <c r="AZ26" s="450"/>
      <c r="BA26" s="450"/>
      <c r="BB26" s="450"/>
      <c r="BC26" s="450"/>
      <c r="BD26" s="450"/>
      <c r="BE26" s="500"/>
      <c r="BF26" s="500"/>
      <c r="BG26" s="500"/>
      <c r="BH26" s="850"/>
      <c r="BI26" s="850"/>
      <c r="BJ26" s="847"/>
      <c r="BK26" s="500"/>
      <c r="BL26" s="834" t="str">
        <f>IF(WWWW[[#This Row],['#_Water samples_Tested_at_water_source]]="","no test","Tested")</f>
        <v>no test</v>
      </c>
      <c r="BM26" s="834" t="str">
        <f>IF(WWWW[[#This Row],['#_Water samples_Tested_at_HH]]="","no test","Tested")</f>
        <v>no test</v>
      </c>
      <c r="BN26" s="835" t="str">
        <f>IF(AND(WWWW[[#This Row],[Water_testing_at source]]="no test",WWWW[[#This Row],[Water_testing_at HH]]="no test"),"No Test","Tested")</f>
        <v>No Test</v>
      </c>
      <c r="BO26"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6" s="836">
        <f>WWWW[[#This Row],[% HRP1]]*WWWW[[#This Row],[Total PoP ]]</f>
        <v>6016</v>
      </c>
      <c r="BQ26" s="837">
        <f>WWWW[[#This Row],[HRP1]]/500</f>
        <v>12.032</v>
      </c>
      <c r="BR26" s="838">
        <f>1-WWWW[[#This Row],[% HRP1]]</f>
        <v>0</v>
      </c>
      <c r="BS26" s="837">
        <f>WWWW[[#This Row],[%equitable and continuous access to sufficient quantity of safe drinking and domestic water''s GAP]]*WWWW[[#This Row],[Total PoP ]]</f>
        <v>0</v>
      </c>
      <c r="BT26" s="451">
        <f>ROUND(IF(WWWW[[#This Row],[Total PoP ]]&lt;500,1,WWWW[[#This Row],[Total PoP ]]/500),0)</f>
        <v>12</v>
      </c>
      <c r="BU26" s="835">
        <f>IF(WWWW[[#This Row],[Total required water points]]-WWWW[[#This Row],['#Water points coverage]]&lt;0,0,WWWW[[#This Row],[Total required water points]]-WWWW[[#This Row],['#Water points coverage]])</f>
        <v>0</v>
      </c>
      <c r="BV26" s="452">
        <f>WWWW[[#This Row],[HRP2]]/WWWW[[#This Row],[Total PoP ]]</f>
        <v>0.72905585106382975</v>
      </c>
      <c r="BW26"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4386</v>
      </c>
      <c r="BX26" s="455">
        <f>IF(WWWW[[#This Row],['#_Functional_adult_latrines]]="","",WWWW[[#This Row],[Total PoP ]]/WWWW[[#This Row],['#_Functional_adult_latrines]])</f>
        <v>27.596330275229359</v>
      </c>
      <c r="BY26" s="835">
        <f>WWWW[[#This Row],['#_of_latrines_in_TLS/CFS]]*50</f>
        <v>100</v>
      </c>
      <c r="BZ26" s="451">
        <f>IF(WWWW[[#This Row],['#_of_latrines_in_THF]]="",0,WWWW[[#This Row],['#_of_latrines_in_THF]]*50)</f>
        <v>0</v>
      </c>
      <c r="CA26" s="835">
        <f>ROUND(IF(WWWW[[#This Row],[Location Type 1]]="camp",WWWW[[#This Row],[Total PoP ]]/20),0)</f>
        <v>301</v>
      </c>
      <c r="CB26" s="835">
        <f>IF(WWWW[[#This Row],[Total required Latrines]]-WWWW[[#This Row],['#_Existing_latrines]]&lt;0,0,WWWW[[#This Row],[Total required Latrines]]-WWWW[[#This Row],['#_Existing_latrines]])</f>
        <v>48</v>
      </c>
      <c r="CC26" s="838">
        <f>1-WWWW[[#This Row],[% HRP2]]</f>
        <v>0.27094414893617025</v>
      </c>
      <c r="CD26" s="834">
        <f>IF(WWWW[[#This Row],['#_Existing_latrines]]="","NA",(WWWW[[#This Row],['#_Existing_latrines]]-WWWW[[#This Row],['#_Functional_adult_latrines]])/WWWW[[#This Row],['#_Existing_latrines]])</f>
        <v>0.13833992094861661</v>
      </c>
      <c r="CE26"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6"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6" s="835">
        <f>IF(WWWW[[#This Row],['#_of_affected_women_and_girls_receiving_a_sufficient_quantity_of_sanitary_pads]]&gt;WWWW[[#This Row],[Total PoP ]],WWWW[[#This Row],[Total PoP ]],WWWW[[#This Row],['#_of_affected_women_and_girls_receiving_a_sufficient_quantity_of_sanitary_pads]])</f>
        <v>0</v>
      </c>
      <c r="CH26" s="835">
        <f>IF(WWWW[[#This Row],['# People with access to soap]]&gt;WWWW[[#This Row],['# People with access to Sanity Pads]],WWWW[[#This Row],['# People with access to soap]],WWWW[[#This Row],['# People with access to Sanity Pads]])</f>
        <v>0</v>
      </c>
      <c r="CI26"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6" s="838">
        <f>IF(WWWW[[#This Row],[HRP3]]/WWWW[[#This Row],[Total PoP ]]&gt;100%,100%,WWWW[[#This Row],[HRP3]]/WWWW[[#This Row],[Total PoP ]])</f>
        <v>0</v>
      </c>
      <c r="CK26" s="834">
        <f>1-WWWW[[#This Row],[Hygiene Coverage%]]</f>
        <v>1</v>
      </c>
      <c r="CL26" s="830">
        <f>WWWW[[#This Row],['# people reached by regular dedicated hygiene promotion_5]]/WWWW[[#This Row],[Total PoP ]]</f>
        <v>0</v>
      </c>
      <c r="CM26" s="834">
        <f>IF(WWWW[[#This Row],['#_of_affected_households_receiving_a_sufficient_quantity_of_soap]]/WWWW[[#This Row],[Total HH]]&gt;1,1,WWWW[[#This Row],['#_of_affected_households_receiving_a_sufficient_quantity_of_soap]]/WWWW[[#This Row],[Total HH]])</f>
        <v>0</v>
      </c>
      <c r="CN26" s="455" t="str">
        <f>IF(WWWW[[#This Row],['#_students at TLS_CFS]]="","No","Yes")</f>
        <v>No</v>
      </c>
      <c r="CO26" s="452">
        <f>WWWW[[#This Row],[%_of_affected_people_surveyed_who_report_feeling_informed_about_the_different_WASH_services_available_to_them]]</f>
        <v>0</v>
      </c>
      <c r="CP2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6" s="500">
        <f>IF(WWWW[[#This Row],['#_PPL_accessed_water_in_TLS]]&gt;WWWW[[#This Row],['# students access to functioning school latrines_HRP5]],WWWW[[#This Row],['#_PPL_accessed_water_in_TLS]],WWWW[[#This Row],['# students access to functioning school latrines_HRP5]])</f>
        <v>100</v>
      </c>
      <c r="CR26" s="500">
        <f>IF(WWWW[[#This Row],['#_PPL_accessed_water_in_THF]]&gt;WWWW[[#This Row],['# people access to functioning latrines in THF_HRP6]],WWWW[[#This Row],['#_PPL_accessed_water_in_THF]],WWWW[[#This Row],['# people access to functioning latrines in THF_HRP6]])</f>
        <v>0</v>
      </c>
      <c r="CS26" s="826" t="str">
        <f>VLOOKUP(WWWW[[#This Row],[Site Name]],SiteDB6[[Site Name]:[CCCM Management]],6,FALSE)</f>
        <v>Yes</v>
      </c>
      <c r="CT26" s="826">
        <f>VLOOKUP(WWWW[[#This Row],[Site Name]],SiteDB6[[Site Name]:[CCCM Focal Agency]],7,FALSE)</f>
        <v>0</v>
      </c>
      <c r="CU26" s="826" t="str">
        <f>VLOOKUP(WWWW[[#This Row],[Site Name]],SiteDB6[[Site Name]:[Location Type 1]],9,FALSE)</f>
        <v>Camp</v>
      </c>
      <c r="CV26" s="826" t="str">
        <f>VLOOKUP(WWWW[[#This Row],[Site Name]],SiteDB6[[Site Name]:[Type of Accommodation]],10,FALSE)</f>
        <v>Self Settled Camp</v>
      </c>
      <c r="CW26" s="826" t="str">
        <f>VLOOKUP(WWWW[[#This Row],[Site Name]],SiteDB6[[Site Name]:[Ethnic or GCA/NGCA]],11,FALSE)</f>
        <v>Muslim</v>
      </c>
      <c r="CX26" s="826">
        <f>VLOOKUP(WWWW[[#This Row],[Site Name]],SiteDB6[[Site Name]:[Lat]],12,FALSE)</f>
        <v>20.1585</v>
      </c>
      <c r="CY26" s="826">
        <f>VLOOKUP(WWWW[[#This Row],[Site Name]],SiteDB6[[Site Name]:[Long]],13,FALSE)</f>
        <v>92.839416999999997</v>
      </c>
      <c r="CZ26" s="826" t="str">
        <f>VLOOKUP(WWWW[[#This Row],[Site Name]],SiteDB6[[Site Name]:[Pcode]],3,FALSE)</f>
        <v>MMR012CMP046</v>
      </c>
      <c r="DA26" s="839" t="str">
        <f t="shared" si="0"/>
        <v>Covered</v>
      </c>
      <c r="DB26" s="477">
        <f>VLOOKUP(WWWW[[#This Row],[Site Name]],SiteDB6[[Site Name]:[PWD_Total]],22,FALSE)</f>
        <v>365</v>
      </c>
      <c r="DC26" s="477">
        <f>VLOOKUP(WWWW[[#This Row],[Site Name]],SiteDB6[[Site Name]:[PWD_Total]],23,FALSE)</f>
        <v>800</v>
      </c>
      <c r="DD26" s="477">
        <f>WWWW[[#This Row],['# of Male_People with disabilities]]+WWWW[[#This Row],['# of Female_People with disabilities]]</f>
        <v>1165</v>
      </c>
      <c r="DE26" s="826"/>
      <c r="DF26" s="839"/>
      <c r="DG26" s="839"/>
      <c r="DH26" s="839"/>
      <c r="DI26" s="839">
        <f>VLOOKUP(WWWW[[#This Row],[Site Name]],SiteDB6[[Site Name]:[Pop
(CCCM as of Autust 2021)]],16,FALSE)</f>
        <v>2062</v>
      </c>
      <c r="DJ26" s="839">
        <f>VLOOKUP(WWWW[[#This Row],[Site Name]],SiteDB6[[Site Name]:[Pop
(CCCM as of Autust 2021)]],17,FALSE)</f>
        <v>12522</v>
      </c>
    </row>
    <row r="27" spans="1:114" hidden="1">
      <c r="A27" s="824" t="s">
        <v>3144</v>
      </c>
      <c r="B27" s="824" t="s">
        <v>2620</v>
      </c>
      <c r="C27" s="825" t="s">
        <v>2269</v>
      </c>
      <c r="D27" s="825" t="s">
        <v>40</v>
      </c>
      <c r="E27" s="856" t="s">
        <v>293</v>
      </c>
      <c r="F27" s="825" t="s">
        <v>294</v>
      </c>
      <c r="G27" s="857" t="s">
        <v>43</v>
      </c>
      <c r="H27" s="825" t="s">
        <v>425</v>
      </c>
      <c r="I27" s="827">
        <v>1013</v>
      </c>
      <c r="J27" s="827">
        <v>5950</v>
      </c>
      <c r="K27" s="684">
        <f>WWWW[[#This Row],[Total PoP ]]/WWWW[[#This Row],[Total HH]]</f>
        <v>5.8736426456071076</v>
      </c>
      <c r="L27" s="828">
        <v>44197</v>
      </c>
      <c r="M27" s="829">
        <v>44592</v>
      </c>
      <c r="N27" s="827"/>
      <c r="O27" s="500">
        <v>59</v>
      </c>
      <c r="P27" s="827">
        <v>68</v>
      </c>
      <c r="Q27" s="500"/>
      <c r="R27" s="500"/>
      <c r="S27" s="827"/>
      <c r="T27" s="827"/>
      <c r="U27" s="827"/>
      <c r="V27" s="830"/>
      <c r="W27" s="827"/>
      <c r="X27" s="830"/>
      <c r="Y27" s="827"/>
      <c r="Z27" s="500"/>
      <c r="AA27" s="500"/>
      <c r="AB27" s="831"/>
      <c r="AC27" s="827">
        <v>242</v>
      </c>
      <c r="AD27" s="827">
        <v>339</v>
      </c>
      <c r="AE27" s="827"/>
      <c r="AF27" s="827"/>
      <c r="AG27" s="830"/>
      <c r="AH27" s="830"/>
      <c r="AI27" s="830"/>
      <c r="AJ27" s="827">
        <v>4</v>
      </c>
      <c r="AK27" s="827">
        <v>38</v>
      </c>
      <c r="AL27" s="827">
        <v>21</v>
      </c>
      <c r="AM27" s="500"/>
      <c r="AN27" s="827" t="s">
        <v>41</v>
      </c>
      <c r="AO27" s="832"/>
      <c r="AP27" s="827"/>
      <c r="AQ27" s="827"/>
      <c r="AR27" s="827"/>
      <c r="AS27" s="827"/>
      <c r="AT27" s="827"/>
      <c r="AU27" s="827"/>
      <c r="AV27" s="450"/>
      <c r="AW27" s="830"/>
      <c r="AX27" s="451">
        <v>3</v>
      </c>
      <c r="AY27" s="840"/>
      <c r="AZ27" s="450"/>
      <c r="BA27" s="450"/>
      <c r="BB27" s="450"/>
      <c r="BC27" s="450"/>
      <c r="BD27" s="450"/>
      <c r="BE27" s="500"/>
      <c r="BF27" s="500"/>
      <c r="BG27" s="500"/>
      <c r="BH27" s="850"/>
      <c r="BI27" s="850"/>
      <c r="BJ27" s="847"/>
      <c r="BK27" s="500"/>
      <c r="BL27" s="834" t="str">
        <f>IF(WWWW[[#This Row],['#_Water samples_Tested_at_water_source]]="","no test","Tested")</f>
        <v>no test</v>
      </c>
      <c r="BM27" s="834" t="str">
        <f>IF(WWWW[[#This Row],['#_Water samples_Tested_at_HH]]="","no test","Tested")</f>
        <v>no test</v>
      </c>
      <c r="BN27" s="835" t="str">
        <f>IF(AND(WWWW[[#This Row],[Water_testing_at source]]="no test",WWWW[[#This Row],[Water_testing_at HH]]="no test"),"No Test","Tested")</f>
        <v>No Test</v>
      </c>
      <c r="BO27" s="83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7" s="836">
        <f>WWWW[[#This Row],[% HRP1]]*WWWW[[#This Row],[Total PoP ]]</f>
        <v>5950</v>
      </c>
      <c r="BQ27" s="837">
        <f>WWWW[[#This Row],[HRP1]]/500</f>
        <v>11.9</v>
      </c>
      <c r="BR27" s="838">
        <f>1-WWWW[[#This Row],[% HRP1]]</f>
        <v>0</v>
      </c>
      <c r="BS27" s="837">
        <f>WWWW[[#This Row],[%equitable and continuous access to sufficient quantity of safe drinking and domestic water''s GAP]]*WWWW[[#This Row],[Total PoP ]]</f>
        <v>0</v>
      </c>
      <c r="BT27" s="451">
        <f>ROUND(IF(WWWW[[#This Row],[Total PoP ]]&lt;500,1,WWWW[[#This Row],[Total PoP ]]/500),0)</f>
        <v>12</v>
      </c>
      <c r="BU27" s="835">
        <f>IF(WWWW[[#This Row],[Total required water points]]-WWWW[[#This Row],['#Water points coverage]]&lt;0,0,WWWW[[#This Row],[Total required water points]]-WWWW[[#This Row],['#Water points coverage]])</f>
        <v>9.9999999999999645E-2</v>
      </c>
      <c r="BV27" s="452">
        <f>WWWW[[#This Row],[HRP2]]/WWWW[[#This Row],[Total PoP ]]</f>
        <v>0.83327731092436974</v>
      </c>
      <c r="BW27" s="83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4958</v>
      </c>
      <c r="BX27" s="455">
        <f>IF(WWWW[[#This Row],['#_Functional_adult_latrines]]="","",WWWW[[#This Row],[Total PoP ]]/WWWW[[#This Row],['#_Functional_adult_latrines]])</f>
        <v>24.58677685950413</v>
      </c>
      <c r="BY27" s="835">
        <f>WWWW[[#This Row],['#_of_latrines_in_TLS/CFS]]*50</f>
        <v>1050</v>
      </c>
      <c r="BZ27" s="451">
        <f>IF(WWWW[[#This Row],['#_of_latrines_in_THF]]="",0,WWWW[[#This Row],['#_of_latrines_in_THF]]*50)</f>
        <v>0</v>
      </c>
      <c r="CA27" s="835">
        <f>ROUND(IF(WWWW[[#This Row],[Location Type 1]]="camp",WWWW[[#This Row],[Total PoP ]]/20),0)</f>
        <v>298</v>
      </c>
      <c r="CB27" s="835">
        <f>IF(WWWW[[#This Row],[Total required Latrines]]-WWWW[[#This Row],['#_Existing_latrines]]&lt;0,0,WWWW[[#This Row],[Total required Latrines]]-WWWW[[#This Row],['#_Existing_latrines]])</f>
        <v>0</v>
      </c>
      <c r="CC27" s="838">
        <f>1-WWWW[[#This Row],[% HRP2]]</f>
        <v>0.16672268907563026</v>
      </c>
      <c r="CD27" s="834">
        <f>IF(WWWW[[#This Row],['#_Existing_latrines]]="","NA",(WWWW[[#This Row],['#_Existing_latrines]]-WWWW[[#This Row],['#_Functional_adult_latrines]])/WWWW[[#This Row],['#_Existing_latrines]])</f>
        <v>0.28613569321533922</v>
      </c>
      <c r="CE27" s="83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7" s="83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7" s="835">
        <f>IF(WWWW[[#This Row],['#_of_affected_women_and_girls_receiving_a_sufficient_quantity_of_sanitary_pads]]&gt;WWWW[[#This Row],[Total PoP ]],WWWW[[#This Row],[Total PoP ]],WWWW[[#This Row],['#_of_affected_women_and_girls_receiving_a_sufficient_quantity_of_sanitary_pads]])</f>
        <v>0</v>
      </c>
      <c r="CH27" s="835">
        <f>IF(WWWW[[#This Row],['# People with access to soap]]&gt;WWWW[[#This Row],['# People with access to Sanity Pads]],WWWW[[#This Row],['# People with access to soap]],WWWW[[#This Row],['# People with access to Sanity Pads]])</f>
        <v>0</v>
      </c>
      <c r="CI27" s="835">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7" s="838">
        <f>IF(WWWW[[#This Row],[HRP3]]/WWWW[[#This Row],[Total PoP ]]&gt;100%,100%,WWWW[[#This Row],[HRP3]]/WWWW[[#This Row],[Total PoP ]])</f>
        <v>0</v>
      </c>
      <c r="CK27" s="834">
        <f>1-WWWW[[#This Row],[Hygiene Coverage%]]</f>
        <v>1</v>
      </c>
      <c r="CL27" s="830">
        <f>WWWW[[#This Row],['# people reached by regular dedicated hygiene promotion_5]]/WWWW[[#This Row],[Total PoP ]]</f>
        <v>0</v>
      </c>
      <c r="CM27" s="834">
        <f>IF(WWWW[[#This Row],['#_of_affected_households_receiving_a_sufficient_quantity_of_soap]]/WWWW[[#This Row],[Total HH]]&gt;1,1,WWWW[[#This Row],['#_of_affected_households_receiving_a_sufficient_quantity_of_soap]]/WWWW[[#This Row],[Total HH]])</f>
        <v>0</v>
      </c>
      <c r="CN27" s="455" t="str">
        <f>IF(WWWW[[#This Row],['#_students at TLS_CFS]]="","No","Yes")</f>
        <v>No</v>
      </c>
      <c r="CO27" s="452">
        <f>WWWW[[#This Row],[%_of_affected_people_surveyed_who_report_feeling_informed_about_the_different_WASH_services_available_to_them]]</f>
        <v>0</v>
      </c>
      <c r="CP2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7" s="500">
        <f>IF(WWWW[[#This Row],['#_PPL_accessed_water_in_TLS]]&gt;WWWW[[#This Row],['# students access to functioning school latrines_HRP5]],WWWW[[#This Row],['#_PPL_accessed_water_in_TLS]],WWWW[[#This Row],['# students access to functioning school latrines_HRP5]])</f>
        <v>1050</v>
      </c>
      <c r="CR27" s="500">
        <f>IF(WWWW[[#This Row],['#_PPL_accessed_water_in_THF]]&gt;WWWW[[#This Row],['# people access to functioning latrines in THF_HRP6]],WWWW[[#This Row],['#_PPL_accessed_water_in_THF]],WWWW[[#This Row],['# people access to functioning latrines in THF_HRP6]])</f>
        <v>0</v>
      </c>
      <c r="CS27" s="826" t="str">
        <f>VLOOKUP(WWWW[[#This Row],[Site Name]],SiteDB6[[Site Name]:[CCCM Management]],6,FALSE)</f>
        <v>Yes</v>
      </c>
      <c r="CT27" s="826">
        <f>VLOOKUP(WWWW[[#This Row],[Site Name]],SiteDB6[[Site Name]:[CCCM Focal Agency]],7,FALSE)</f>
        <v>0</v>
      </c>
      <c r="CU27" s="826" t="str">
        <f>VLOOKUP(WWWW[[#This Row],[Site Name]],SiteDB6[[Site Name]:[Location Type 1]],9,FALSE)</f>
        <v>Camp</v>
      </c>
      <c r="CV27" s="826" t="str">
        <f>VLOOKUP(WWWW[[#This Row],[Site Name]],SiteDB6[[Site Name]:[Type of Accommodation]],10,FALSE)</f>
        <v>Planned Camp</v>
      </c>
      <c r="CW27" s="826" t="str">
        <f>VLOOKUP(WWWW[[#This Row],[Site Name]],SiteDB6[[Site Name]:[Ethnic or GCA/NGCA]],11,FALSE)</f>
        <v>Muslim</v>
      </c>
      <c r="CX27" s="826">
        <f>VLOOKUP(WWWW[[#This Row],[Site Name]],SiteDB6[[Site Name]:[Lat]],12,FALSE)</f>
        <v>20.179939999999998</v>
      </c>
      <c r="CY27" s="826">
        <f>VLOOKUP(WWWW[[#This Row],[Site Name]],SiteDB6[[Site Name]:[Long]],13,FALSE)</f>
        <v>92.831879000000001</v>
      </c>
      <c r="CZ27" s="826" t="str">
        <f>VLOOKUP(WWWW[[#This Row],[Site Name]],SiteDB6[[Site Name]:[Pcode]],3,FALSE)</f>
        <v>MMR012CMP048</v>
      </c>
      <c r="DA27" s="839" t="str">
        <f t="shared" si="0"/>
        <v>Covered</v>
      </c>
      <c r="DB27" s="477">
        <f>VLOOKUP(WWWW[[#This Row],[Site Name]],SiteDB6[[Site Name]:[PWD_Total]],22,FALSE)</f>
        <v>250</v>
      </c>
      <c r="DC27" s="477">
        <f>VLOOKUP(WWWW[[#This Row],[Site Name]],SiteDB6[[Site Name]:[PWD_Total]],23,FALSE)</f>
        <v>699</v>
      </c>
      <c r="DD27" s="477">
        <f>WWWW[[#This Row],['# of Male_People with disabilities]]+WWWW[[#This Row],['# of Female_People with disabilities]]</f>
        <v>949</v>
      </c>
      <c r="DE27" s="826"/>
      <c r="DF27" s="839"/>
      <c r="DG27" s="839"/>
      <c r="DH27" s="839"/>
      <c r="DI27" s="839">
        <f>VLOOKUP(WWWW[[#This Row],[Site Name]],SiteDB6[[Site Name]:[Pop
(CCCM as of Autust 2021)]],16,FALSE)</f>
        <v>1019</v>
      </c>
      <c r="DJ27" s="839">
        <f>VLOOKUP(WWWW[[#This Row],[Site Name]],SiteDB6[[Site Name]:[Pop
(CCCM as of Autust 2021)]],17,FALSE)</f>
        <v>6906</v>
      </c>
    </row>
    <row r="28" spans="1:114">
      <c r="A28" s="896" t="s">
        <v>3145</v>
      </c>
      <c r="B28" s="901" t="s">
        <v>265</v>
      </c>
      <c r="C28" s="902" t="s">
        <v>265</v>
      </c>
      <c r="D28" s="902" t="s">
        <v>2983</v>
      </c>
      <c r="E28" s="856" t="s">
        <v>293</v>
      </c>
      <c r="F28" s="902" t="s">
        <v>401</v>
      </c>
      <c r="G28" s="857" t="s">
        <v>43</v>
      </c>
      <c r="H28" s="902" t="s">
        <v>411</v>
      </c>
      <c r="I28" s="904">
        <v>1112</v>
      </c>
      <c r="J28" s="904">
        <v>5133</v>
      </c>
      <c r="K28" s="684">
        <f>WWWW[[#This Row],[Total PoP ]]/WWWW[[#This Row],[Total HH]]</f>
        <v>4.6160071942446042</v>
      </c>
      <c r="L28" s="905" t="s">
        <v>3188</v>
      </c>
      <c r="M28" s="906" t="s">
        <v>3189</v>
      </c>
      <c r="N28" s="904"/>
      <c r="O28" s="500"/>
      <c r="P28" s="904"/>
      <c r="Q28" s="500">
        <v>14</v>
      </c>
      <c r="R28" s="500">
        <v>14</v>
      </c>
      <c r="S28" s="904">
        <v>1612000</v>
      </c>
      <c r="T28" s="904">
        <v>5133</v>
      </c>
      <c r="U28" s="904">
        <v>1</v>
      </c>
      <c r="V28" s="907">
        <v>1</v>
      </c>
      <c r="W28" s="904">
        <v>8</v>
      </c>
      <c r="X28" s="907">
        <v>0.38</v>
      </c>
      <c r="Y28" s="904"/>
      <c r="Z28" s="500"/>
      <c r="AA28" s="500"/>
      <c r="AB28" s="908" t="s">
        <v>3190</v>
      </c>
      <c r="AC28" s="904">
        <v>195</v>
      </c>
      <c r="AD28" s="904">
        <v>198</v>
      </c>
      <c r="AE28" s="904">
        <v>2</v>
      </c>
      <c r="AF28" s="904">
        <v>198</v>
      </c>
      <c r="AG28" s="907">
        <v>0.99</v>
      </c>
      <c r="AH28" s="907">
        <v>1</v>
      </c>
      <c r="AI28" s="907">
        <v>0.98</v>
      </c>
      <c r="AJ28" s="904">
        <v>27</v>
      </c>
      <c r="AK28" s="904">
        <v>76</v>
      </c>
      <c r="AL28" s="904"/>
      <c r="AM28" s="500"/>
      <c r="AN28" s="904" t="s">
        <v>41</v>
      </c>
      <c r="AO28" s="909" t="s">
        <v>3191</v>
      </c>
      <c r="AP28" s="904">
        <v>997</v>
      </c>
      <c r="AQ28" s="904">
        <v>1200</v>
      </c>
      <c r="AR28" s="904">
        <v>1521</v>
      </c>
      <c r="AS28" s="904">
        <v>1415</v>
      </c>
      <c r="AT28" s="904">
        <v>1112</v>
      </c>
      <c r="AU28" s="904">
        <v>1515</v>
      </c>
      <c r="AV28" s="450">
        <v>0.15</v>
      </c>
      <c r="AW28" s="907">
        <v>0.71</v>
      </c>
      <c r="AX28" s="451">
        <v>0</v>
      </c>
      <c r="AY28" s="910"/>
      <c r="AZ28" s="450">
        <v>0.89</v>
      </c>
      <c r="BA28" s="450">
        <v>0.7</v>
      </c>
      <c r="BB28" s="450">
        <v>0.97</v>
      </c>
      <c r="BC28" s="450">
        <v>1</v>
      </c>
      <c r="BD28" s="450">
        <v>1.2699999999999999E-2</v>
      </c>
      <c r="BE28" s="500"/>
      <c r="BF28" s="500"/>
      <c r="BG28" s="500"/>
      <c r="BH28" s="500"/>
      <c r="BI28" s="500"/>
      <c r="BJ28" s="500"/>
      <c r="BK28" s="500"/>
      <c r="BL28" s="911" t="str">
        <f>IF(WWWW[[#This Row],['#_Water samples_Tested_at_water_source]]="","no test","Tested")</f>
        <v>Tested</v>
      </c>
      <c r="BM28" s="911" t="str">
        <f>IF(WWWW[[#This Row],['#_Water samples_Tested_at_HH]]="","no test","Tested")</f>
        <v>Tested</v>
      </c>
      <c r="BN28" s="912" t="str">
        <f>IF(AND(WWWW[[#This Row],[Water_testing_at source]]="no test",WWWW[[#This Row],[Water_testing_at HH]]="no test"),"No Test","Tested")</f>
        <v>Tested</v>
      </c>
      <c r="BO28"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8" s="913">
        <f>WWWW[[#This Row],[% HRP1]]*WWWW[[#This Row],[Total PoP ]]</f>
        <v>5133</v>
      </c>
      <c r="BQ28" s="914">
        <f>WWWW[[#This Row],[HRP1]]/500</f>
        <v>10.266</v>
      </c>
      <c r="BR28" s="915">
        <f>1-WWWW[[#This Row],[% HRP1]]</f>
        <v>0</v>
      </c>
      <c r="BS28" s="914">
        <f>WWWW[[#This Row],[%equitable and continuous access to sufficient quantity of safe drinking and domestic water''s GAP]]*WWWW[[#This Row],[Total PoP ]]</f>
        <v>0</v>
      </c>
      <c r="BT28" s="451">
        <f>ROUND(IF(WWWW[[#This Row],[Total PoP ]]&lt;500,1,WWWW[[#This Row],[Total PoP ]]/500),0)</f>
        <v>10</v>
      </c>
      <c r="BU28" s="912">
        <f>IF(WWWW[[#This Row],[Total required water points]]-WWWW[[#This Row],['#Water points coverage]]&lt;0,0,WWWW[[#This Row],[Total required water points]]-WWWW[[#This Row],['#Water points coverage]])</f>
        <v>0</v>
      </c>
      <c r="BV28" s="965">
        <f>WWWW[[#This Row],[HRP2]]/WWWW[[#This Row],[Total PoP ]]</f>
        <v>0.87979738944087282</v>
      </c>
      <c r="BW28"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4516</v>
      </c>
      <c r="BX28" s="455">
        <f>IF(WWWW[[#This Row],['#_Functional_adult_latrines]]="","",WWWW[[#This Row],[Total PoP ]]/WWWW[[#This Row],['#_Functional_adult_latrines]])</f>
        <v>26.323076923076922</v>
      </c>
      <c r="BY28" s="912">
        <f>WWWW[[#This Row],['#_of_latrines_in_TLS/CFS]]*50</f>
        <v>0</v>
      </c>
      <c r="BZ28" s="451">
        <f>IF(WWWW[[#This Row],['#_of_latrines_in_THF]]="",0,WWWW[[#This Row],['#_of_latrines_in_THF]]*50)</f>
        <v>0</v>
      </c>
      <c r="CA28" s="912">
        <f>ROUND(IF(WWWW[[#This Row],[Location Type 1]]="camp",WWWW[[#This Row],[Total PoP ]]/20),0)</f>
        <v>257</v>
      </c>
      <c r="CB28" s="912">
        <f>IF(WWWW[[#This Row],[Total required Latrines]]-WWWW[[#This Row],['#_Existing_latrines]]&lt;0,0,WWWW[[#This Row],[Total required Latrines]]-WWWW[[#This Row],['#_Existing_latrines]])</f>
        <v>59</v>
      </c>
      <c r="CC28" s="915">
        <f>1-WWWW[[#This Row],[% HRP2]]</f>
        <v>0.12020261055912718</v>
      </c>
      <c r="CD28" s="911">
        <f>IF(WWWW[[#This Row],['#_Existing_latrines]]="","NA",(WWWW[[#This Row],['#_Existing_latrines]]-WWWW[[#This Row],['#_Functional_adult_latrines]])/WWWW[[#This Row],['#_Existing_latrines]])</f>
        <v>1.5151515151515152E-2</v>
      </c>
      <c r="CE28"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28"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28" s="912">
        <f>IF(WWWW[[#This Row],['#_of_affected_women_and_girls_receiving_a_sufficient_quantity_of_sanitary_pads]]&gt;WWWW[[#This Row],[Total PoP ]],WWWW[[#This Row],[Total PoP ]],WWWW[[#This Row],['#_of_affected_women_and_girls_receiving_a_sufficient_quantity_of_sanitary_pads]])</f>
        <v>1515</v>
      </c>
      <c r="CH28" s="912">
        <f>IF(WWWW[[#This Row],['# People with access to soap]]&gt;WWWW[[#This Row],['# People with access to Sanity Pads]],WWWW[[#This Row],['# People with access to soap]],WWWW[[#This Row],['# People with access to Sanity Pads]])</f>
        <v>5133</v>
      </c>
      <c r="CI28" s="912">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28" s="915">
        <f>IF(WWWW[[#This Row],[HRP3]]/WWWW[[#This Row],[Total PoP ]]&gt;100%,100%,WWWW[[#This Row],[HRP3]]/WWWW[[#This Row],[Total PoP ]])</f>
        <v>1</v>
      </c>
      <c r="CK28" s="911">
        <f>1-WWWW[[#This Row],[Hygiene Coverage%]]</f>
        <v>0</v>
      </c>
      <c r="CL28" s="907">
        <f>WWWW[[#This Row],['# people reached by regular dedicated hygiene promotion_5]]/WWWW[[#This Row],[Total PoP ]]</f>
        <v>1</v>
      </c>
      <c r="CM28" s="911">
        <f>IF(WWWW[[#This Row],['#_of_affected_households_receiving_a_sufficient_quantity_of_soap]]/WWWW[[#This Row],[Total HH]]&gt;1,1,WWWW[[#This Row],['#_of_affected_households_receiving_a_sufficient_quantity_of_soap]]/WWWW[[#This Row],[Total HH]])</f>
        <v>1</v>
      </c>
      <c r="CN28" s="455" t="str">
        <f>IF(WWWW[[#This Row],['#_students at TLS_CFS]]="","No","Yes")</f>
        <v>No</v>
      </c>
      <c r="CO28" s="452">
        <f>WWWW[[#This Row],[%_of_affected_people_surveyed_who_report_feeling_informed_about_the_different_WASH_services_available_to_them]]</f>
        <v>0.97</v>
      </c>
      <c r="CP2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8" s="500">
        <f>IF(WWWW[[#This Row],['#_PPL_accessed_water_in_TLS]]&gt;WWWW[[#This Row],['# students access to functioning school latrines_HRP5]],WWWW[[#This Row],['#_PPL_accessed_water_in_TLS]],WWWW[[#This Row],['# students access to functioning school latrines_HRP5]])</f>
        <v>0</v>
      </c>
      <c r="CR28" s="500">
        <f>IF(WWWW[[#This Row],['#_PPL_accessed_water_in_THF]]&gt;WWWW[[#This Row],['# people access to functioning latrines in THF_HRP6]],WWWW[[#This Row],['#_PPL_accessed_water_in_THF]],WWWW[[#This Row],['# people access to functioning latrines in THF_HRP6]])</f>
        <v>0</v>
      </c>
      <c r="CS28" s="903" t="str">
        <f>VLOOKUP(WWWW[[#This Row],[Site Name]],SiteDB6[[Site Name]:[CCCM Management]],6,FALSE)</f>
        <v>Yes</v>
      </c>
      <c r="CT28" s="903" t="str">
        <f>VLOOKUP(WWWW[[#This Row],[Site Name]],SiteDB6[[Site Name]:[CCCM Focal Agency]],7,FALSE)</f>
        <v>LWF</v>
      </c>
      <c r="CU28" s="903" t="str">
        <f>VLOOKUP(WWWW[[#This Row],[Site Name]],SiteDB6[[Site Name]:[Location Type 1]],9,FALSE)</f>
        <v>Camp</v>
      </c>
      <c r="CV28" s="903" t="str">
        <f>VLOOKUP(WWWW[[#This Row],[Site Name]],SiteDB6[[Site Name]:[Type of Accommodation]],10,FALSE)</f>
        <v>Planned Camp</v>
      </c>
      <c r="CW28" s="903" t="str">
        <f>VLOOKUP(WWWW[[#This Row],[Site Name]],SiteDB6[[Site Name]:[Ethnic or GCA/NGCA]],11,FALSE)</f>
        <v>Muslim</v>
      </c>
      <c r="CX28" s="903">
        <f>VLOOKUP(WWWW[[#This Row],[Site Name]],SiteDB6[[Site Name]:[Lat]],12,FALSE)</f>
        <v>20.108101999999999</v>
      </c>
      <c r="CY28" s="903">
        <f>VLOOKUP(WWWW[[#This Row],[Site Name]],SiteDB6[[Site Name]:[Long]],13,FALSE)</f>
        <v>92.985095000000001</v>
      </c>
      <c r="CZ28" s="903" t="str">
        <f>VLOOKUP(WWWW[[#This Row],[Site Name]],SiteDB6[[Site Name]:[Pcode]],3,FALSE)</f>
        <v>MMR012CMP016</v>
      </c>
      <c r="DA28" s="916" t="str">
        <f t="shared" ref="DA28:DA48" si="1">IF(C28="none","Notcovered","Covered")</f>
        <v>Covered</v>
      </c>
      <c r="DB28" s="477">
        <f>VLOOKUP(WWWW[[#This Row],[Site Name]],SiteDB6[[Site Name]:[PWD_Total]],22,FALSE)</f>
        <v>279</v>
      </c>
      <c r="DC28" s="477">
        <f>VLOOKUP(WWWW[[#This Row],[Site Name]],SiteDB6[[Site Name]:[PWD_Total]],23,FALSE)</f>
        <v>636</v>
      </c>
      <c r="DD28" s="477">
        <f>WWWW[[#This Row],['# of Male_People with disabilities]]+WWWW[[#This Row],['# of Female_People with disabilities]]</f>
        <v>915</v>
      </c>
      <c r="DE28" s="903"/>
      <c r="DF28" s="916"/>
      <c r="DG28" s="916"/>
      <c r="DH28" s="916"/>
      <c r="DI28" s="916">
        <f>VLOOKUP(WWWW[[#This Row],[Site Name]],SiteDB6[[Site Name]:[Pop
(CCCM as of Autust 2021)]],16,FALSE)</f>
        <v>1115</v>
      </c>
      <c r="DJ28" s="916">
        <f>VLOOKUP(WWWW[[#This Row],[Site Name]],SiteDB6[[Site Name]:[Pop
(CCCM as of Autust 2021)]],17,FALSE)</f>
        <v>5197</v>
      </c>
    </row>
    <row r="29" spans="1:114">
      <c r="A29" s="896" t="s">
        <v>3145</v>
      </c>
      <c r="B29" s="901" t="s">
        <v>2270</v>
      </c>
      <c r="C29" s="902" t="s">
        <v>2270</v>
      </c>
      <c r="D29" s="902" t="s">
        <v>3187</v>
      </c>
      <c r="E29" s="856" t="s">
        <v>293</v>
      </c>
      <c r="F29" s="902" t="s">
        <v>294</v>
      </c>
      <c r="G29" s="857" t="s">
        <v>43</v>
      </c>
      <c r="H29" s="902" t="s">
        <v>413</v>
      </c>
      <c r="I29" s="904">
        <v>380</v>
      </c>
      <c r="J29" s="904">
        <v>2489</v>
      </c>
      <c r="K29" s="684">
        <f>WWWW[[#This Row],[Total PoP ]]/WWWW[[#This Row],[Total HH]]</f>
        <v>6.55</v>
      </c>
      <c r="L29" s="905">
        <v>44652</v>
      </c>
      <c r="M29" s="906">
        <v>44834</v>
      </c>
      <c r="N29" s="904"/>
      <c r="O29" s="500">
        <v>23</v>
      </c>
      <c r="P29" s="904">
        <v>23</v>
      </c>
      <c r="Q29" s="500"/>
      <c r="R29" s="500"/>
      <c r="S29" s="904"/>
      <c r="T29" s="904"/>
      <c r="U29" s="904">
        <v>21</v>
      </c>
      <c r="V29" s="907">
        <v>0.56999999999999995</v>
      </c>
      <c r="W29" s="904">
        <v>76</v>
      </c>
      <c r="X29" s="907">
        <v>0.14000000000000001</v>
      </c>
      <c r="Y29" s="904"/>
      <c r="Z29" s="500"/>
      <c r="AA29" s="500"/>
      <c r="AB29" s="908"/>
      <c r="AC29" s="904">
        <v>115</v>
      </c>
      <c r="AD29" s="904">
        <v>120</v>
      </c>
      <c r="AE29" s="904">
        <v>15</v>
      </c>
      <c r="AF29" s="904">
        <v>58</v>
      </c>
      <c r="AG29" s="907">
        <v>1</v>
      </c>
      <c r="AH29" s="907">
        <v>0.91</v>
      </c>
      <c r="AI29" s="907">
        <v>0.55000000000000004</v>
      </c>
      <c r="AJ29" s="904"/>
      <c r="AK29" s="904"/>
      <c r="AL29" s="904"/>
      <c r="AM29" s="500"/>
      <c r="AN29" s="904" t="s">
        <v>41</v>
      </c>
      <c r="AO29" s="909"/>
      <c r="AP29" s="904">
        <v>13</v>
      </c>
      <c r="AQ29" s="904">
        <v>127</v>
      </c>
      <c r="AR29" s="904">
        <v>127</v>
      </c>
      <c r="AS29" s="904">
        <v>119</v>
      </c>
      <c r="AT29" s="904">
        <v>380</v>
      </c>
      <c r="AU29" s="904">
        <v>760</v>
      </c>
      <c r="AV29" s="450">
        <v>1</v>
      </c>
      <c r="AW29" s="907">
        <v>1</v>
      </c>
      <c r="AX29" s="451"/>
      <c r="AY29" s="910"/>
      <c r="AZ29" s="450">
        <v>1</v>
      </c>
      <c r="BA29" s="450">
        <v>1</v>
      </c>
      <c r="BB29" s="450">
        <v>1</v>
      </c>
      <c r="BC29" s="450">
        <v>0.88</v>
      </c>
      <c r="BD29" s="450"/>
      <c r="BE29" s="500">
        <v>120</v>
      </c>
      <c r="BF29" s="500"/>
      <c r="BG29" s="500"/>
      <c r="BH29" s="500"/>
      <c r="BI29" s="500"/>
      <c r="BJ29" s="500"/>
      <c r="BK29" s="500"/>
      <c r="BL29" s="911" t="str">
        <f>IF(WWWW[[#This Row],['#_Water samples_Tested_at_water_source]]="","no test","Tested")</f>
        <v>Tested</v>
      </c>
      <c r="BM29" s="911" t="str">
        <f>IF(WWWW[[#This Row],['#_Water samples_Tested_at_HH]]="","no test","Tested")</f>
        <v>Tested</v>
      </c>
      <c r="BN29" s="912" t="str">
        <f>IF(AND(WWWW[[#This Row],[Water_testing_at source]]="no test",WWWW[[#This Row],[Water_testing_at HH]]="no test"),"No Test","Tested")</f>
        <v>Tested</v>
      </c>
      <c r="BO29"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9" s="913">
        <f>WWWW[[#This Row],[% HRP1]]*WWWW[[#This Row],[Total PoP ]]</f>
        <v>2489</v>
      </c>
      <c r="BQ29" s="914">
        <f>WWWW[[#This Row],[HRP1]]/500</f>
        <v>4.9779999999999998</v>
      </c>
      <c r="BR29" s="915">
        <f>1-WWWW[[#This Row],[% HRP1]]</f>
        <v>0</v>
      </c>
      <c r="BS29" s="914">
        <f>WWWW[[#This Row],[%equitable and continuous access to sufficient quantity of safe drinking and domestic water''s GAP]]*WWWW[[#This Row],[Total PoP ]]</f>
        <v>0</v>
      </c>
      <c r="BT29" s="451">
        <f>ROUND(IF(WWWW[[#This Row],[Total PoP ]]&lt;500,1,WWWW[[#This Row],[Total PoP ]]/500),0)</f>
        <v>5</v>
      </c>
      <c r="BU29" s="912">
        <f>IF(WWWW[[#This Row],[Total required water points]]-WWWW[[#This Row],['#Water points coverage]]&lt;0,0,WWWW[[#This Row],[Total required water points]]-WWWW[[#This Row],['#Water points coverage]])</f>
        <v>2.2000000000000242E-2</v>
      </c>
      <c r="BV29" s="452">
        <f>WWWW[[#This Row],[HRP2]]/WWWW[[#This Row],[Total PoP ]]</f>
        <v>0.92406588991562877</v>
      </c>
      <c r="BW29"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2300</v>
      </c>
      <c r="BX29" s="455">
        <f>IF(WWWW[[#This Row],['#_Functional_adult_latrines]]="","",WWWW[[#This Row],[Total PoP ]]/WWWW[[#This Row],['#_Functional_adult_latrines]])</f>
        <v>21.643478260869564</v>
      </c>
      <c r="BY29" s="912">
        <f>WWWW[[#This Row],['#_of_latrines_in_TLS/CFS]]*50</f>
        <v>0</v>
      </c>
      <c r="BZ29" s="451">
        <f>IF(WWWW[[#This Row],['#_of_latrines_in_THF]]="",0,WWWW[[#This Row],['#_of_latrines_in_THF]]*50)</f>
        <v>0</v>
      </c>
      <c r="CA29" s="912">
        <f>ROUND(IF(WWWW[[#This Row],[Location Type 1]]="camp",WWWW[[#This Row],[Total PoP ]]/20),0)</f>
        <v>124</v>
      </c>
      <c r="CB29" s="912">
        <f>IF(WWWW[[#This Row],[Total required Latrines]]-WWWW[[#This Row],['#_Existing_latrines]]&lt;0,0,WWWW[[#This Row],[Total required Latrines]]-WWWW[[#This Row],['#_Existing_latrines]])</f>
        <v>4</v>
      </c>
      <c r="CC29" s="915">
        <f>1-WWWW[[#This Row],[% HRP2]]</f>
        <v>7.5934110084371231E-2</v>
      </c>
      <c r="CD29" s="911">
        <f>IF(WWWW[[#This Row],['#_Existing_latrines]]="","NA",(WWWW[[#This Row],['#_Existing_latrines]]-WWWW[[#This Row],['#_Functional_adult_latrines]])/WWWW[[#This Row],['#_Existing_latrines]])</f>
        <v>4.1666666666666664E-2</v>
      </c>
      <c r="CE29"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386</v>
      </c>
      <c r="CF29"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G29" s="912">
        <f>IF(WWWW[[#This Row],['#_of_affected_women_and_girls_receiving_a_sufficient_quantity_of_sanitary_pads]]&gt;WWWW[[#This Row],[Total PoP ]],WWWW[[#This Row],[Total PoP ]],WWWW[[#This Row],['#_of_affected_women_and_girls_receiving_a_sufficient_quantity_of_sanitary_pads]])</f>
        <v>760</v>
      </c>
      <c r="CH29" s="912">
        <f>IF(WWWW[[#This Row],['# People with access to soap]]&gt;WWWW[[#This Row],['# People with access to Sanity Pads]],WWWW[[#This Row],['# People with access to soap]],WWWW[[#This Row],['# People with access to Sanity Pads]])</f>
        <v>2489</v>
      </c>
      <c r="CI29" s="912">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J29" s="915">
        <f>IF(WWWW[[#This Row],[HRP3]]/WWWW[[#This Row],[Total PoP ]]&gt;100%,100%,WWWW[[#This Row],[HRP3]]/WWWW[[#This Row],[Total PoP ]])</f>
        <v>1</v>
      </c>
      <c r="CK29" s="911">
        <f>1-WWWW[[#This Row],[Hygiene Coverage%]]</f>
        <v>0</v>
      </c>
      <c r="CL29" s="907">
        <f>WWWW[[#This Row],['# people reached by regular dedicated hygiene promotion_5]]/WWWW[[#This Row],[Total PoP ]]</f>
        <v>0.15508236239453596</v>
      </c>
      <c r="CM29" s="911">
        <f>IF(WWWW[[#This Row],['#_of_affected_households_receiving_a_sufficient_quantity_of_soap]]/WWWW[[#This Row],[Total HH]]&gt;1,1,WWWW[[#This Row],['#_of_affected_households_receiving_a_sufficient_quantity_of_soap]]/WWWW[[#This Row],[Total HH]])</f>
        <v>1</v>
      </c>
      <c r="CN29" s="455" t="str">
        <f>IF(WWWW[[#This Row],['#_students at TLS_CFS]]="","No","Yes")</f>
        <v>No</v>
      </c>
      <c r="CO29" s="452">
        <f>WWWW[[#This Row],[%_of_affected_people_surveyed_who_report_feeling_informed_about_the_different_WASH_services_available_to_them]]</f>
        <v>1</v>
      </c>
      <c r="CP2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Q29" s="500">
        <f>IF(WWWW[[#This Row],['#_PPL_accessed_water_in_TLS]]&gt;WWWW[[#This Row],['# students access to functioning school latrines_HRP5]],WWWW[[#This Row],['#_PPL_accessed_water_in_TLS]],WWWW[[#This Row],['# students access to functioning school latrines_HRP5]])</f>
        <v>0</v>
      </c>
      <c r="CR29" s="500">
        <f>IF(WWWW[[#This Row],['#_PPL_accessed_water_in_THF]]&gt;WWWW[[#This Row],['# people access to functioning latrines in THF_HRP6]],WWWW[[#This Row],['#_PPL_accessed_water_in_THF]],WWWW[[#This Row],['# people access to functioning latrines in THF_HRP6]])</f>
        <v>0</v>
      </c>
      <c r="CS29" s="903" t="str">
        <f>VLOOKUP(WWWW[[#This Row],[Site Name]],SiteDB6[[Site Name]:[CCCM Management]],6,FALSE)</f>
        <v>Yes</v>
      </c>
      <c r="CT29" s="903">
        <f>VLOOKUP(WWWW[[#This Row],[Site Name]],SiteDB6[[Site Name]:[CCCM Focal Agency]],7,FALSE)</f>
        <v>0</v>
      </c>
      <c r="CU29" s="903" t="str">
        <f>VLOOKUP(WWWW[[#This Row],[Site Name]],SiteDB6[[Site Name]:[Location Type 1]],9,FALSE)</f>
        <v>Camp</v>
      </c>
      <c r="CV29" s="903" t="str">
        <f>VLOOKUP(WWWW[[#This Row],[Site Name]],SiteDB6[[Site Name]:[Type of Accommodation]],10,FALSE)</f>
        <v>Planned Camp</v>
      </c>
      <c r="CW29" s="903" t="str">
        <f>VLOOKUP(WWWW[[#This Row],[Site Name]],SiteDB6[[Site Name]:[Ethnic or GCA/NGCA]],11,FALSE)</f>
        <v>Muslim</v>
      </c>
      <c r="CX29" s="903">
        <f>VLOOKUP(WWWW[[#This Row],[Site Name]],SiteDB6[[Site Name]:[Lat]],12,FALSE)</f>
        <v>20.128488999999998</v>
      </c>
      <c r="CY29" s="903">
        <f>VLOOKUP(WWWW[[#This Row],[Site Name]],SiteDB6[[Site Name]:[Long]],13,FALSE)</f>
        <v>92.875814000000005</v>
      </c>
      <c r="CZ29" s="903" t="str">
        <f>VLOOKUP(WWWW[[#This Row],[Site Name]],SiteDB6[[Site Name]:[Pcode]],3,FALSE)</f>
        <v>MMR012CMP039</v>
      </c>
      <c r="DA29" s="916" t="str">
        <f t="shared" si="1"/>
        <v>Covered</v>
      </c>
      <c r="DB29" s="477">
        <f>VLOOKUP(WWWW[[#This Row],[Site Name]],SiteDB6[[Site Name]:[PWD_Total]],22,FALSE)</f>
        <v>100</v>
      </c>
      <c r="DC29" s="477">
        <f>VLOOKUP(WWWW[[#This Row],[Site Name]],SiteDB6[[Site Name]:[PWD_Total]],23,FALSE)</f>
        <v>301</v>
      </c>
      <c r="DD29" s="477">
        <f>WWWW[[#This Row],['# of Male_People with disabilities]]+WWWW[[#This Row],['# of Female_People with disabilities]]</f>
        <v>401</v>
      </c>
      <c r="DE29" s="903"/>
      <c r="DF29" s="916"/>
      <c r="DG29" s="916"/>
      <c r="DH29" s="916"/>
      <c r="DI29" s="916">
        <f>VLOOKUP(WWWW[[#This Row],[Site Name]],SiteDB6[[Site Name]:[Pop
(CCCM as of Autust 2021)]],16,FALSE)</f>
        <v>380</v>
      </c>
      <c r="DJ29" s="916">
        <f>VLOOKUP(WWWW[[#This Row],[Site Name]],SiteDB6[[Site Name]:[Pop
(CCCM as of Autust 2021)]],17,FALSE)</f>
        <v>2435</v>
      </c>
    </row>
    <row r="30" spans="1:114">
      <c r="A30" s="896" t="s">
        <v>3145</v>
      </c>
      <c r="B30" s="901" t="s">
        <v>2270</v>
      </c>
      <c r="C30" s="902" t="s">
        <v>2270</v>
      </c>
      <c r="D30" s="902" t="s">
        <v>3187</v>
      </c>
      <c r="E30" s="856" t="s">
        <v>293</v>
      </c>
      <c r="F30" s="902" t="s">
        <v>294</v>
      </c>
      <c r="G30" s="857" t="s">
        <v>43</v>
      </c>
      <c r="H30" s="902" t="s">
        <v>424</v>
      </c>
      <c r="I30" s="904">
        <v>1012</v>
      </c>
      <c r="J30" s="904">
        <v>5101</v>
      </c>
      <c r="K30" s="684">
        <f>WWWW[[#This Row],[Total PoP ]]/WWWW[[#This Row],[Total HH]]</f>
        <v>5.0405138339920947</v>
      </c>
      <c r="L30" s="905">
        <v>44652</v>
      </c>
      <c r="M30" s="906">
        <v>44834</v>
      </c>
      <c r="N30" s="904"/>
      <c r="O30" s="500">
        <v>47</v>
      </c>
      <c r="P30" s="904">
        <v>51</v>
      </c>
      <c r="Q30" s="500"/>
      <c r="R30" s="500"/>
      <c r="S30" s="904"/>
      <c r="T30" s="904"/>
      <c r="U30" s="904">
        <v>66</v>
      </c>
      <c r="V30" s="907">
        <v>0.61</v>
      </c>
      <c r="W30" s="904">
        <v>69</v>
      </c>
      <c r="X30" s="907">
        <v>0.23</v>
      </c>
      <c r="Y30" s="904"/>
      <c r="Z30" s="500"/>
      <c r="AA30" s="500"/>
      <c r="AB30" s="908"/>
      <c r="AC30" s="904">
        <v>225</v>
      </c>
      <c r="AD30" s="904">
        <v>254</v>
      </c>
      <c r="AE30" s="904">
        <v>179</v>
      </c>
      <c r="AF30" s="904">
        <v>331</v>
      </c>
      <c r="AG30" s="907">
        <v>1</v>
      </c>
      <c r="AH30" s="907">
        <v>0.97</v>
      </c>
      <c r="AI30" s="907">
        <v>0.11</v>
      </c>
      <c r="AJ30" s="904"/>
      <c r="AK30" s="904"/>
      <c r="AL30" s="904"/>
      <c r="AM30" s="500"/>
      <c r="AN30" s="904" t="s">
        <v>41</v>
      </c>
      <c r="AO30" s="909"/>
      <c r="AP30" s="904">
        <v>51</v>
      </c>
      <c r="AQ30" s="904">
        <v>373</v>
      </c>
      <c r="AR30" s="904">
        <v>137</v>
      </c>
      <c r="AS30" s="904">
        <v>159</v>
      </c>
      <c r="AT30" s="904">
        <v>1012</v>
      </c>
      <c r="AU30" s="904">
        <v>2024</v>
      </c>
      <c r="AV30" s="450">
        <v>0.86</v>
      </c>
      <c r="AW30" s="907">
        <v>1</v>
      </c>
      <c r="AX30" s="451"/>
      <c r="AY30" s="910"/>
      <c r="AZ30" s="450">
        <v>0.94</v>
      </c>
      <c r="BA30" s="450">
        <v>0.87</v>
      </c>
      <c r="BB30" s="450">
        <v>0.91</v>
      </c>
      <c r="BC30" s="450">
        <v>0.86</v>
      </c>
      <c r="BD30" s="450"/>
      <c r="BE30" s="500">
        <v>254</v>
      </c>
      <c r="BF30" s="500"/>
      <c r="BG30" s="500"/>
      <c r="BH30" s="500"/>
      <c r="BI30" s="500"/>
      <c r="BJ30" s="500"/>
      <c r="BK30" s="500"/>
      <c r="BL30" s="911" t="str">
        <f>IF(WWWW[[#This Row],['#_Water samples_Tested_at_water_source]]="","no test","Tested")</f>
        <v>Tested</v>
      </c>
      <c r="BM30" s="911" t="str">
        <f>IF(WWWW[[#This Row],['#_Water samples_Tested_at_HH]]="","no test","Tested")</f>
        <v>Tested</v>
      </c>
      <c r="BN30" s="912" t="str">
        <f>IF(AND(WWWW[[#This Row],[Water_testing_at source]]="no test",WWWW[[#This Row],[Water_testing_at HH]]="no test"),"No Test","Tested")</f>
        <v>Tested</v>
      </c>
      <c r="BO30"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0" s="913">
        <f>WWWW[[#This Row],[% HRP1]]*WWWW[[#This Row],[Total PoP ]]</f>
        <v>5101</v>
      </c>
      <c r="BQ30" s="914">
        <f>WWWW[[#This Row],[HRP1]]/500</f>
        <v>10.202</v>
      </c>
      <c r="BR30" s="915">
        <f>1-WWWW[[#This Row],[% HRP1]]</f>
        <v>0</v>
      </c>
      <c r="BS30" s="914">
        <f>WWWW[[#This Row],[%equitable and continuous access to sufficient quantity of safe drinking and domestic water''s GAP]]*WWWW[[#This Row],[Total PoP ]]</f>
        <v>0</v>
      </c>
      <c r="BT30" s="451">
        <f>ROUND(IF(WWWW[[#This Row],[Total PoP ]]&lt;500,1,WWWW[[#This Row],[Total PoP ]]/500),0)</f>
        <v>10</v>
      </c>
      <c r="BU30" s="912">
        <f>IF(WWWW[[#This Row],[Total required water points]]-WWWW[[#This Row],['#Water points coverage]]&lt;0,0,WWWW[[#This Row],[Total required water points]]-WWWW[[#This Row],['#Water points coverage]])</f>
        <v>0</v>
      </c>
      <c r="BV30" s="452">
        <f>WWWW[[#This Row],[HRP2]]/WWWW[[#This Row],[Total PoP ]]</f>
        <v>0.88217996471280136</v>
      </c>
      <c r="BW30"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4500</v>
      </c>
      <c r="BX30" s="455">
        <f>IF(WWWW[[#This Row],['#_Functional_adult_latrines]]="","",WWWW[[#This Row],[Total PoP ]]/WWWW[[#This Row],['#_Functional_adult_latrines]])</f>
        <v>22.671111111111109</v>
      </c>
      <c r="BY30" s="912">
        <f>WWWW[[#This Row],['#_of_latrines_in_TLS/CFS]]*50</f>
        <v>0</v>
      </c>
      <c r="BZ30" s="451">
        <f>IF(WWWW[[#This Row],['#_of_latrines_in_THF]]="",0,WWWW[[#This Row],['#_of_latrines_in_THF]]*50)</f>
        <v>0</v>
      </c>
      <c r="CA30" s="912">
        <f>ROUND(IF(WWWW[[#This Row],[Location Type 1]]="camp",WWWW[[#This Row],[Total PoP ]]/20),0)</f>
        <v>255</v>
      </c>
      <c r="CB30" s="912">
        <f>IF(WWWW[[#This Row],[Total required Latrines]]-WWWW[[#This Row],['#_Existing_latrines]]&lt;0,0,WWWW[[#This Row],[Total required Latrines]]-WWWW[[#This Row],['#_Existing_latrines]])</f>
        <v>1</v>
      </c>
      <c r="CC30" s="915">
        <f>1-WWWW[[#This Row],[% HRP2]]</f>
        <v>0.11782003528719864</v>
      </c>
      <c r="CD30" s="911">
        <f>IF(WWWW[[#This Row],['#_Existing_latrines]]="","NA",(WWWW[[#This Row],['#_Existing_latrines]]-WWWW[[#This Row],['#_Functional_adult_latrines]])/WWWW[[#This Row],['#_Existing_latrines]])</f>
        <v>0.1141732283464567</v>
      </c>
      <c r="CE30"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720</v>
      </c>
      <c r="CF30"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G30" s="912">
        <f>IF(WWWW[[#This Row],['#_of_affected_women_and_girls_receiving_a_sufficient_quantity_of_sanitary_pads]]&gt;WWWW[[#This Row],[Total PoP ]],WWWW[[#This Row],[Total PoP ]],WWWW[[#This Row],['#_of_affected_women_and_girls_receiving_a_sufficient_quantity_of_sanitary_pads]])</f>
        <v>2024</v>
      </c>
      <c r="CH30" s="912">
        <f>IF(WWWW[[#This Row],['# People with access to soap]]&gt;WWWW[[#This Row],['# People with access to Sanity Pads]],WWWW[[#This Row],['# People with access to soap]],WWWW[[#This Row],['# People with access to Sanity Pads]])</f>
        <v>5101</v>
      </c>
      <c r="CI30" s="912">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J30" s="915">
        <f>IF(WWWW[[#This Row],[HRP3]]/WWWW[[#This Row],[Total PoP ]]&gt;100%,100%,WWWW[[#This Row],[HRP3]]/WWWW[[#This Row],[Total PoP ]])</f>
        <v>1</v>
      </c>
      <c r="CK30" s="911">
        <f>1-WWWW[[#This Row],[Hygiene Coverage%]]</f>
        <v>0</v>
      </c>
      <c r="CL30" s="907">
        <f>WWWW[[#This Row],['# people reached by regular dedicated hygiene promotion_5]]/WWWW[[#This Row],[Total PoP ]]</f>
        <v>0.14114879435404823</v>
      </c>
      <c r="CM30" s="911">
        <f>IF(WWWW[[#This Row],['#_of_affected_households_receiving_a_sufficient_quantity_of_soap]]/WWWW[[#This Row],[Total HH]]&gt;1,1,WWWW[[#This Row],['#_of_affected_households_receiving_a_sufficient_quantity_of_soap]]/WWWW[[#This Row],[Total HH]])</f>
        <v>1</v>
      </c>
      <c r="CN30" s="455" t="str">
        <f>IF(WWWW[[#This Row],['#_students at TLS_CFS]]="","No","Yes")</f>
        <v>No</v>
      </c>
      <c r="CO30" s="452">
        <f>WWWW[[#This Row],[%_of_affected_people_surveyed_who_report_feeling_informed_about_the_different_WASH_services_available_to_them]]</f>
        <v>0.91</v>
      </c>
      <c r="CP3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Q30" s="500">
        <f>IF(WWWW[[#This Row],['#_PPL_accessed_water_in_TLS]]&gt;WWWW[[#This Row],['# students access to functioning school latrines_HRP5]],WWWW[[#This Row],['#_PPL_accessed_water_in_TLS]],WWWW[[#This Row],['# students access to functioning school latrines_HRP5]])</f>
        <v>0</v>
      </c>
      <c r="CR30" s="500">
        <f>IF(WWWW[[#This Row],['#_PPL_accessed_water_in_THF]]&gt;WWWW[[#This Row],['# people access to functioning latrines in THF_HRP6]],WWWW[[#This Row],['#_PPL_accessed_water_in_THF]],WWWW[[#This Row],['# people access to functioning latrines in THF_HRP6]])</f>
        <v>0</v>
      </c>
      <c r="CS30" s="903" t="str">
        <f>VLOOKUP(WWWW[[#This Row],[Site Name]],SiteDB6[[Site Name]:[CCCM Management]],6,FALSE)</f>
        <v>Yes</v>
      </c>
      <c r="CT30" s="903">
        <f>VLOOKUP(WWWW[[#This Row],[Site Name]],SiteDB6[[Site Name]:[CCCM Focal Agency]],7,FALSE)</f>
        <v>0</v>
      </c>
      <c r="CU30" s="903" t="str">
        <f>VLOOKUP(WWWW[[#This Row],[Site Name]],SiteDB6[[Site Name]:[Location Type 1]],9,FALSE)</f>
        <v>Camp</v>
      </c>
      <c r="CV30" s="903" t="str">
        <f>VLOOKUP(WWWW[[#This Row],[Site Name]],SiteDB6[[Site Name]:[Type of Accommodation]],10,FALSE)</f>
        <v>Planned Camp</v>
      </c>
      <c r="CW30" s="903" t="str">
        <f>VLOOKUP(WWWW[[#This Row],[Site Name]],SiteDB6[[Site Name]:[Ethnic or GCA/NGCA]],11,FALSE)</f>
        <v>Muslim</v>
      </c>
      <c r="CX30" s="903">
        <f>VLOOKUP(WWWW[[#This Row],[Site Name]],SiteDB6[[Site Name]:[Lat]],12,FALSE)</f>
        <v>20.179417000000001</v>
      </c>
      <c r="CY30" s="903">
        <f>VLOOKUP(WWWW[[#This Row],[Site Name]],SiteDB6[[Site Name]:[Long]],13,FALSE)</f>
        <v>92.813028000000003</v>
      </c>
      <c r="CZ30" s="903" t="str">
        <f>VLOOKUP(WWWW[[#This Row],[Site Name]],SiteDB6[[Site Name]:[Pcode]],3,FALSE)</f>
        <v>MMR012CMP113</v>
      </c>
      <c r="DA30" s="916" t="str">
        <f t="shared" si="1"/>
        <v>Covered</v>
      </c>
      <c r="DB30" s="477">
        <f>VLOOKUP(WWWW[[#This Row],[Site Name]],SiteDB6[[Site Name]:[PWD_Total]],22,FALSE)</f>
        <v>46</v>
      </c>
      <c r="DC30" s="477">
        <f>VLOOKUP(WWWW[[#This Row],[Site Name]],SiteDB6[[Site Name]:[PWD_Total]],23,FALSE)</f>
        <v>436</v>
      </c>
      <c r="DD30" s="477">
        <f>WWWW[[#This Row],['# of Male_People with disabilities]]+WWWW[[#This Row],['# of Female_People with disabilities]]</f>
        <v>482</v>
      </c>
      <c r="DE30" s="903"/>
      <c r="DF30" s="916"/>
      <c r="DG30" s="916"/>
      <c r="DH30" s="916"/>
      <c r="DI30" s="916">
        <f>VLOOKUP(WWWW[[#This Row],[Site Name]],SiteDB6[[Site Name]:[Pop
(CCCM as of Autust 2021)]],16,FALSE)</f>
        <v>1012</v>
      </c>
      <c r="DJ30" s="916">
        <f>VLOOKUP(WWWW[[#This Row],[Site Name]],SiteDB6[[Site Name]:[Pop
(CCCM as of Autust 2021)]],17,FALSE)</f>
        <v>5066</v>
      </c>
    </row>
    <row r="31" spans="1:114">
      <c r="A31" s="896" t="s">
        <v>3145</v>
      </c>
      <c r="B31" s="901" t="s">
        <v>2270</v>
      </c>
      <c r="C31" s="902" t="s">
        <v>2270</v>
      </c>
      <c r="D31" s="902" t="s">
        <v>3187</v>
      </c>
      <c r="E31" s="856" t="s">
        <v>293</v>
      </c>
      <c r="F31" s="902" t="s">
        <v>294</v>
      </c>
      <c r="G31" s="857" t="s">
        <v>43</v>
      </c>
      <c r="H31" s="902" t="s">
        <v>426</v>
      </c>
      <c r="I31" s="904">
        <v>1346</v>
      </c>
      <c r="J31" s="904">
        <v>8728</v>
      </c>
      <c r="K31" s="684">
        <f>WWWW[[#This Row],[Total PoP ]]/WWWW[[#This Row],[Total HH]]</f>
        <v>6.4843982169390788</v>
      </c>
      <c r="L31" s="905">
        <v>44652</v>
      </c>
      <c r="M31" s="906">
        <v>44834</v>
      </c>
      <c r="N31" s="904"/>
      <c r="O31" s="500">
        <v>76</v>
      </c>
      <c r="P31" s="904">
        <v>80</v>
      </c>
      <c r="Q31" s="500"/>
      <c r="R31" s="500"/>
      <c r="S31" s="904"/>
      <c r="T31" s="904"/>
      <c r="U31" s="904">
        <v>91</v>
      </c>
      <c r="V31" s="907">
        <v>0.63</v>
      </c>
      <c r="W31" s="904">
        <v>20</v>
      </c>
      <c r="X31" s="907">
        <v>0.25</v>
      </c>
      <c r="Y31" s="904"/>
      <c r="Z31" s="500"/>
      <c r="AA31" s="500"/>
      <c r="AB31" s="908"/>
      <c r="AC31" s="904">
        <v>240</v>
      </c>
      <c r="AD31" s="904">
        <v>328</v>
      </c>
      <c r="AE31" s="904"/>
      <c r="AF31" s="904"/>
      <c r="AG31" s="907"/>
      <c r="AH31" s="907"/>
      <c r="AI31" s="907"/>
      <c r="AJ31" s="904"/>
      <c r="AK31" s="904"/>
      <c r="AL31" s="904"/>
      <c r="AM31" s="500"/>
      <c r="AN31" s="904" t="s">
        <v>41</v>
      </c>
      <c r="AO31" s="909"/>
      <c r="AP31" s="904"/>
      <c r="AQ31" s="904"/>
      <c r="AR31" s="904"/>
      <c r="AS31" s="904"/>
      <c r="AT31" s="904">
        <v>1331</v>
      </c>
      <c r="AU31" s="904">
        <v>2662</v>
      </c>
      <c r="AV31" s="450"/>
      <c r="AW31" s="907"/>
      <c r="AX31" s="451"/>
      <c r="AY31" s="910"/>
      <c r="AZ31" s="450"/>
      <c r="BA31" s="450"/>
      <c r="BB31" s="450"/>
      <c r="BC31" s="450"/>
      <c r="BD31" s="450"/>
      <c r="BE31" s="500">
        <v>382</v>
      </c>
      <c r="BF31" s="500"/>
      <c r="BG31" s="500"/>
      <c r="BH31" s="500"/>
      <c r="BI31" s="500"/>
      <c r="BJ31" s="500"/>
      <c r="BK31" s="500"/>
      <c r="BL31" s="911" t="str">
        <f>IF(WWWW[[#This Row],['#_Water samples_Tested_at_water_source]]="","no test","Tested")</f>
        <v>Tested</v>
      </c>
      <c r="BM31" s="911" t="str">
        <f>IF(WWWW[[#This Row],['#_Water samples_Tested_at_HH]]="","no test","Tested")</f>
        <v>Tested</v>
      </c>
      <c r="BN31" s="912" t="str">
        <f>IF(AND(WWWW[[#This Row],[Water_testing_at source]]="no test",WWWW[[#This Row],[Water_testing_at HH]]="no test"),"No Test","Tested")</f>
        <v>Tested</v>
      </c>
      <c r="BO31"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1" s="913">
        <f>WWWW[[#This Row],[% HRP1]]*WWWW[[#This Row],[Total PoP ]]</f>
        <v>8728</v>
      </c>
      <c r="BQ31" s="914">
        <f>WWWW[[#This Row],[HRP1]]/500</f>
        <v>17.456</v>
      </c>
      <c r="BR31" s="915">
        <f>1-WWWW[[#This Row],[% HRP1]]</f>
        <v>0</v>
      </c>
      <c r="BS31" s="914">
        <f>WWWW[[#This Row],[%equitable and continuous access to sufficient quantity of safe drinking and domestic water''s GAP]]*WWWW[[#This Row],[Total PoP ]]</f>
        <v>0</v>
      </c>
      <c r="BT31" s="451">
        <f>ROUND(IF(WWWW[[#This Row],[Total PoP ]]&lt;500,1,WWWW[[#This Row],[Total PoP ]]/500),0)</f>
        <v>17</v>
      </c>
      <c r="BU31" s="912">
        <f>IF(WWWW[[#This Row],[Total required water points]]-WWWW[[#This Row],['#Water points coverage]]&lt;0,0,WWWW[[#This Row],[Total required water points]]-WWWW[[#This Row],['#Water points coverage]])</f>
        <v>0</v>
      </c>
      <c r="BV31" s="452">
        <f>WWWW[[#This Row],[HRP2]]/WWWW[[#This Row],[Total PoP ]]</f>
        <v>0.54995417048579287</v>
      </c>
      <c r="BW31"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4800</v>
      </c>
      <c r="BX31" s="455">
        <f>IF(WWWW[[#This Row],['#_Functional_adult_latrines]]="","",WWWW[[#This Row],[Total PoP ]]/WWWW[[#This Row],['#_Functional_adult_latrines]])</f>
        <v>36.366666666666667</v>
      </c>
      <c r="BY31" s="912">
        <f>WWWW[[#This Row],['#_of_latrines_in_TLS/CFS]]*50</f>
        <v>0</v>
      </c>
      <c r="BZ31" s="451">
        <f>IF(WWWW[[#This Row],['#_of_latrines_in_THF]]="",0,WWWW[[#This Row],['#_of_latrines_in_THF]]*50)</f>
        <v>0</v>
      </c>
      <c r="CA31" s="912">
        <f>ROUND(IF(WWWW[[#This Row],[Location Type 1]]="camp",WWWW[[#This Row],[Total PoP ]]/20),0)</f>
        <v>436</v>
      </c>
      <c r="CB31" s="912">
        <f>IF(WWWW[[#This Row],[Total required Latrines]]-WWWW[[#This Row],['#_Existing_latrines]]&lt;0,0,WWWW[[#This Row],[Total required Latrines]]-WWWW[[#This Row],['#_Existing_latrines]])</f>
        <v>108</v>
      </c>
      <c r="CC31" s="915">
        <f>1-WWWW[[#This Row],[% HRP2]]</f>
        <v>0.45004582951420713</v>
      </c>
      <c r="CD31" s="911">
        <f>IF(WWWW[[#This Row],['#_Existing_latrines]]="","NA",(WWWW[[#This Row],['#_Existing_latrines]]-WWWW[[#This Row],['#_Functional_adult_latrines]])/WWWW[[#This Row],['#_Existing_latrines]])</f>
        <v>0.26829268292682928</v>
      </c>
      <c r="CE31"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31"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G31" s="912">
        <f>IF(WWWW[[#This Row],['#_of_affected_women_and_girls_receiving_a_sufficient_quantity_of_sanitary_pads]]&gt;WWWW[[#This Row],[Total PoP ]],WWWW[[#This Row],[Total PoP ]],WWWW[[#This Row],['#_of_affected_women_and_girls_receiving_a_sufficient_quantity_of_sanitary_pads]])</f>
        <v>2662</v>
      </c>
      <c r="CH31" s="912">
        <f>IF(WWWW[[#This Row],['# People with access to soap]]&gt;WWWW[[#This Row],['# People with access to Sanity Pads]],WWWW[[#This Row],['# People with access to soap]],WWWW[[#This Row],['# People with access to Sanity Pads]])</f>
        <v>8630.7340267459131</v>
      </c>
      <c r="CI31" s="912">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J31" s="915">
        <f>IF(WWWW[[#This Row],[HRP3]]/WWWW[[#This Row],[Total PoP ]]&gt;100%,100%,WWWW[[#This Row],[HRP3]]/WWWW[[#This Row],[Total PoP ]])</f>
        <v>0.98885586924219904</v>
      </c>
      <c r="CK31" s="911">
        <f>1-WWWW[[#This Row],[Hygiene Coverage%]]</f>
        <v>1.1144130757800963E-2</v>
      </c>
      <c r="CL31" s="907">
        <f>WWWW[[#This Row],['# people reached by regular dedicated hygiene promotion_5]]/WWWW[[#This Row],[Total PoP ]]</f>
        <v>0</v>
      </c>
      <c r="CM31" s="911">
        <f>IF(WWWW[[#This Row],['#_of_affected_households_receiving_a_sufficient_quantity_of_soap]]/WWWW[[#This Row],[Total HH]]&gt;1,1,WWWW[[#This Row],['#_of_affected_households_receiving_a_sufficient_quantity_of_soap]]/WWWW[[#This Row],[Total HH]])</f>
        <v>0.98885586924219915</v>
      </c>
      <c r="CN31" s="455" t="str">
        <f>IF(WWWW[[#This Row],['#_students at TLS_CFS]]="","No","Yes")</f>
        <v>No</v>
      </c>
      <c r="CO31" s="452">
        <f>WWWW[[#This Row],[%_of_affected_people_surveyed_who_report_feeling_informed_about_the_different_WASH_services_available_to_them]]</f>
        <v>0</v>
      </c>
      <c r="CP3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382</v>
      </c>
      <c r="CQ31" s="500">
        <f>IF(WWWW[[#This Row],['#_PPL_accessed_water_in_TLS]]&gt;WWWW[[#This Row],['# students access to functioning school latrines_HRP5]],WWWW[[#This Row],['#_PPL_accessed_water_in_TLS]],WWWW[[#This Row],['# students access to functioning school latrines_HRP5]])</f>
        <v>0</v>
      </c>
      <c r="CR31" s="500">
        <f>IF(WWWW[[#This Row],['#_PPL_accessed_water_in_THF]]&gt;WWWW[[#This Row],['# people access to functioning latrines in THF_HRP6]],WWWW[[#This Row],['#_PPL_accessed_water_in_THF]],WWWW[[#This Row],['# people access to functioning latrines in THF_HRP6]])</f>
        <v>0</v>
      </c>
      <c r="CS31" s="903" t="str">
        <f>VLOOKUP(WWWW[[#This Row],[Site Name]],SiteDB6[[Site Name]:[CCCM Management]],6,FALSE)</f>
        <v>Yes</v>
      </c>
      <c r="CT31" s="903">
        <f>VLOOKUP(WWWW[[#This Row],[Site Name]],SiteDB6[[Site Name]:[CCCM Focal Agency]],7,FALSE)</f>
        <v>0</v>
      </c>
      <c r="CU31" s="903" t="str">
        <f>VLOOKUP(WWWW[[#This Row],[Site Name]],SiteDB6[[Site Name]:[Location Type 1]],9,FALSE)</f>
        <v>Camp</v>
      </c>
      <c r="CV31" s="903" t="str">
        <f>VLOOKUP(WWWW[[#This Row],[Site Name]],SiteDB6[[Site Name]:[Type of Accommodation]],10,FALSE)</f>
        <v>Planned Camp</v>
      </c>
      <c r="CW31" s="903" t="str">
        <f>VLOOKUP(WWWW[[#This Row],[Site Name]],SiteDB6[[Site Name]:[Ethnic or GCA/NGCA]],11,FALSE)</f>
        <v>Muslim</v>
      </c>
      <c r="CX31" s="903">
        <f>VLOOKUP(WWWW[[#This Row],[Site Name]],SiteDB6[[Site Name]:[Lat]],12,FALSE)</f>
        <v>20.181405999999999</v>
      </c>
      <c r="CY31" s="903">
        <f>VLOOKUP(WWWW[[#This Row],[Site Name]],SiteDB6[[Site Name]:[Long]],13,FALSE)</f>
        <v>92.807552000000001</v>
      </c>
      <c r="CZ31" s="903" t="str">
        <f>VLOOKUP(WWWW[[#This Row],[Site Name]],SiteDB6[[Site Name]:[Pcode]],3,FALSE)</f>
        <v>MMR012CMP114</v>
      </c>
      <c r="DA31" s="916" t="str">
        <f t="shared" si="1"/>
        <v>Covered</v>
      </c>
      <c r="DB31" s="477">
        <f>VLOOKUP(WWWW[[#This Row],[Site Name]],SiteDB6[[Site Name]:[PWD_Total]],22,FALSE)</f>
        <v>242</v>
      </c>
      <c r="DC31" s="477">
        <f>VLOOKUP(WWWW[[#This Row],[Site Name]],SiteDB6[[Site Name]:[PWD_Total]],23,FALSE)</f>
        <v>822</v>
      </c>
      <c r="DD31" s="477">
        <f>WWWW[[#This Row],['# of Male_People with disabilities]]+WWWW[[#This Row],['# of Female_People with disabilities]]</f>
        <v>1064</v>
      </c>
      <c r="DE31" s="903"/>
      <c r="DF31" s="916"/>
      <c r="DG31" s="916"/>
      <c r="DH31" s="916"/>
      <c r="DI31" s="916">
        <f>VLOOKUP(WWWW[[#This Row],[Site Name]],SiteDB6[[Site Name]:[Pop
(CCCM as of Autust 2021)]],16,FALSE)</f>
        <v>1346</v>
      </c>
      <c r="DJ31" s="916">
        <f>VLOOKUP(WWWW[[#This Row],[Site Name]],SiteDB6[[Site Name]:[Pop
(CCCM as of Autust 2021)]],17,FALSE)</f>
        <v>8414</v>
      </c>
    </row>
    <row r="32" spans="1:114">
      <c r="A32" s="896" t="s">
        <v>3145</v>
      </c>
      <c r="B32" s="901" t="s">
        <v>2270</v>
      </c>
      <c r="C32" s="902" t="s">
        <v>2270</v>
      </c>
      <c r="D32" s="902" t="s">
        <v>3187</v>
      </c>
      <c r="E32" s="856" t="s">
        <v>293</v>
      </c>
      <c r="F32" s="902" t="s">
        <v>294</v>
      </c>
      <c r="G32" s="857" t="s">
        <v>43</v>
      </c>
      <c r="H32" s="902" t="s">
        <v>423</v>
      </c>
      <c r="I32" s="904">
        <v>1753</v>
      </c>
      <c r="J32" s="904">
        <v>11715</v>
      </c>
      <c r="K32" s="684">
        <f>WWWW[[#This Row],[Total PoP ]]/WWWW[[#This Row],[Total HH]]</f>
        <v>6.6828294352538506</v>
      </c>
      <c r="L32" s="905">
        <v>44652</v>
      </c>
      <c r="M32" s="906">
        <v>44834</v>
      </c>
      <c r="N32" s="904"/>
      <c r="O32" s="500">
        <v>80</v>
      </c>
      <c r="P32" s="904">
        <v>86</v>
      </c>
      <c r="Q32" s="500"/>
      <c r="R32" s="500"/>
      <c r="S32" s="904"/>
      <c r="T32" s="904"/>
      <c r="U32" s="904">
        <v>68</v>
      </c>
      <c r="V32" s="907">
        <v>0.34</v>
      </c>
      <c r="W32" s="904">
        <v>90</v>
      </c>
      <c r="X32" s="907">
        <v>0.13</v>
      </c>
      <c r="Y32" s="904"/>
      <c r="Z32" s="500"/>
      <c r="AA32" s="500"/>
      <c r="AB32" s="908"/>
      <c r="AC32" s="904">
        <v>446</v>
      </c>
      <c r="AD32" s="904">
        <v>554</v>
      </c>
      <c r="AE32" s="904">
        <v>237</v>
      </c>
      <c r="AF32" s="904">
        <v>241</v>
      </c>
      <c r="AG32" s="907">
        <v>1</v>
      </c>
      <c r="AH32" s="907">
        <v>0.94</v>
      </c>
      <c r="AI32" s="907">
        <v>0.77</v>
      </c>
      <c r="AJ32" s="904"/>
      <c r="AK32" s="904"/>
      <c r="AL32" s="904"/>
      <c r="AM32" s="500"/>
      <c r="AN32" s="904" t="s">
        <v>41</v>
      </c>
      <c r="AO32" s="909"/>
      <c r="AP32" s="904">
        <v>12</v>
      </c>
      <c r="AQ32" s="904">
        <v>212</v>
      </c>
      <c r="AR32" s="904">
        <v>183</v>
      </c>
      <c r="AS32" s="904">
        <v>96</v>
      </c>
      <c r="AT32" s="904">
        <v>1850</v>
      </c>
      <c r="AU32" s="904">
        <v>3700</v>
      </c>
      <c r="AV32" s="450">
        <v>0.96</v>
      </c>
      <c r="AW32" s="907">
        <v>1</v>
      </c>
      <c r="AX32" s="451"/>
      <c r="AY32" s="910"/>
      <c r="AZ32" s="450">
        <v>1</v>
      </c>
      <c r="BA32" s="450">
        <v>1</v>
      </c>
      <c r="BB32" s="450">
        <v>1</v>
      </c>
      <c r="BC32" s="450">
        <v>0.79</v>
      </c>
      <c r="BD32" s="450"/>
      <c r="BE32" s="500">
        <v>554</v>
      </c>
      <c r="BF32" s="500"/>
      <c r="BG32" s="500"/>
      <c r="BH32" s="500"/>
      <c r="BI32" s="500"/>
      <c r="BJ32" s="500"/>
      <c r="BK32" s="500"/>
      <c r="BL32" s="911" t="str">
        <f>IF(WWWW[[#This Row],['#_Water samples_Tested_at_water_source]]="","no test","Tested")</f>
        <v>Tested</v>
      </c>
      <c r="BM32" s="911" t="str">
        <f>IF(WWWW[[#This Row],['#_Water samples_Tested_at_HH]]="","no test","Tested")</f>
        <v>Tested</v>
      </c>
      <c r="BN32" s="912" t="str">
        <f>IF(AND(WWWW[[#This Row],[Water_testing_at source]]="no test",WWWW[[#This Row],[Water_testing_at HH]]="no test"),"No Test","Tested")</f>
        <v>Tested</v>
      </c>
      <c r="BO32"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2" s="913">
        <f>WWWW[[#This Row],[% HRP1]]*WWWW[[#This Row],[Total PoP ]]</f>
        <v>11715</v>
      </c>
      <c r="BQ32" s="914">
        <f>WWWW[[#This Row],[HRP1]]/500</f>
        <v>23.43</v>
      </c>
      <c r="BR32" s="915">
        <f>1-WWWW[[#This Row],[% HRP1]]</f>
        <v>0</v>
      </c>
      <c r="BS32" s="914">
        <f>WWWW[[#This Row],[%equitable and continuous access to sufficient quantity of safe drinking and domestic water''s GAP]]*WWWW[[#This Row],[Total PoP ]]</f>
        <v>0</v>
      </c>
      <c r="BT32" s="451">
        <f>ROUND(IF(WWWW[[#This Row],[Total PoP ]]&lt;500,1,WWWW[[#This Row],[Total PoP ]]/500),0)</f>
        <v>23</v>
      </c>
      <c r="BU32" s="912">
        <f>IF(WWWW[[#This Row],[Total required water points]]-WWWW[[#This Row],['#Water points coverage]]&lt;0,0,WWWW[[#This Row],[Total required water points]]-WWWW[[#This Row],['#Water points coverage]])</f>
        <v>0</v>
      </c>
      <c r="BV32" s="452">
        <f>WWWW[[#This Row],[HRP2]]/WWWW[[#This Row],[Total PoP ]]</f>
        <v>0.76141698676909941</v>
      </c>
      <c r="BW32"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8920</v>
      </c>
      <c r="BX32" s="455">
        <f>IF(WWWW[[#This Row],['#_Functional_adult_latrines]]="","",WWWW[[#This Row],[Total PoP ]]/WWWW[[#This Row],['#_Functional_adult_latrines]])</f>
        <v>26.266816143497756</v>
      </c>
      <c r="BY32" s="912">
        <f>WWWW[[#This Row],['#_of_latrines_in_TLS/CFS]]*50</f>
        <v>0</v>
      </c>
      <c r="BZ32" s="451">
        <f>IF(WWWW[[#This Row],['#_of_latrines_in_THF]]="",0,WWWW[[#This Row],['#_of_latrines_in_THF]]*50)</f>
        <v>0</v>
      </c>
      <c r="CA32" s="912">
        <f>ROUND(IF(WWWW[[#This Row],[Location Type 1]]="camp",WWWW[[#This Row],[Total PoP ]]/20),0)</f>
        <v>586</v>
      </c>
      <c r="CB32" s="912">
        <f>IF(WWWW[[#This Row],[Total required Latrines]]-WWWW[[#This Row],['#_Existing_latrines]]&lt;0,0,WWWW[[#This Row],[Total required Latrines]]-WWWW[[#This Row],['#_Existing_latrines]])</f>
        <v>32</v>
      </c>
      <c r="CC32" s="915">
        <f>1-WWWW[[#This Row],[% HRP2]]</f>
        <v>0.23858301323090059</v>
      </c>
      <c r="CD32" s="911">
        <f>IF(WWWW[[#This Row],['#_Existing_latrines]]="","NA",(WWWW[[#This Row],['#_Existing_latrines]]-WWWW[[#This Row],['#_Functional_adult_latrines]])/WWWW[[#This Row],['#_Existing_latrines]])</f>
        <v>0.19494584837545126</v>
      </c>
      <c r="CE32"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503</v>
      </c>
      <c r="CF32"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G32" s="912">
        <f>IF(WWWW[[#This Row],['#_of_affected_women_and_girls_receiving_a_sufficient_quantity_of_sanitary_pads]]&gt;WWWW[[#This Row],[Total PoP ]],WWWW[[#This Row],[Total PoP ]],WWWW[[#This Row],['#_of_affected_women_and_girls_receiving_a_sufficient_quantity_of_sanitary_pads]])</f>
        <v>3700</v>
      </c>
      <c r="CH32" s="912">
        <f>IF(WWWW[[#This Row],['# People with access to soap]]&gt;WWWW[[#This Row],['# People with access to Sanity Pads]],WWWW[[#This Row],['# People with access to soap]],WWWW[[#This Row],['# People with access to Sanity Pads]])</f>
        <v>11715</v>
      </c>
      <c r="CI32" s="912">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J32" s="915">
        <f>IF(WWWW[[#This Row],[HRP3]]/WWWW[[#This Row],[Total PoP ]]&gt;100%,100%,WWWW[[#This Row],[HRP3]]/WWWW[[#This Row],[Total PoP ]])</f>
        <v>1</v>
      </c>
      <c r="CK32" s="911">
        <f>1-WWWW[[#This Row],[Hygiene Coverage%]]</f>
        <v>0</v>
      </c>
      <c r="CL32" s="907">
        <f>WWWW[[#This Row],['# people reached by regular dedicated hygiene promotion_5]]/WWWW[[#This Row],[Total PoP ]]</f>
        <v>4.2936406316688006E-2</v>
      </c>
      <c r="CM32" s="911">
        <f>IF(WWWW[[#This Row],['#_of_affected_households_receiving_a_sufficient_quantity_of_soap]]/WWWW[[#This Row],[Total HH]]&gt;1,1,WWWW[[#This Row],['#_of_affected_households_receiving_a_sufficient_quantity_of_soap]]/WWWW[[#This Row],[Total HH]])</f>
        <v>1</v>
      </c>
      <c r="CN32" s="455" t="str">
        <f>IF(WWWW[[#This Row],['#_students at TLS_CFS]]="","No","Yes")</f>
        <v>No</v>
      </c>
      <c r="CO32" s="452">
        <f>WWWW[[#This Row],[%_of_affected_people_surveyed_who_report_feeling_informed_about_the_different_WASH_services_available_to_them]]</f>
        <v>1</v>
      </c>
      <c r="CP3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554</v>
      </c>
      <c r="CQ32" s="500">
        <f>IF(WWWW[[#This Row],['#_PPL_accessed_water_in_TLS]]&gt;WWWW[[#This Row],['# students access to functioning school latrines_HRP5]],WWWW[[#This Row],['#_PPL_accessed_water_in_TLS]],WWWW[[#This Row],['# students access to functioning school latrines_HRP5]])</f>
        <v>0</v>
      </c>
      <c r="CR32" s="500">
        <f>IF(WWWW[[#This Row],['#_PPL_accessed_water_in_THF]]&gt;WWWW[[#This Row],['# people access to functioning latrines in THF_HRP6]],WWWW[[#This Row],['#_PPL_accessed_water_in_THF]],WWWW[[#This Row],['# people access to functioning latrines in THF_HRP6]])</f>
        <v>0</v>
      </c>
      <c r="CS32" s="903" t="str">
        <f>VLOOKUP(WWWW[[#This Row],[Site Name]],SiteDB6[[Site Name]:[CCCM Management]],6,FALSE)</f>
        <v>Yes</v>
      </c>
      <c r="CT32" s="903">
        <f>VLOOKUP(WWWW[[#This Row],[Site Name]],SiteDB6[[Site Name]:[CCCM Focal Agency]],7,FALSE)</f>
        <v>0</v>
      </c>
      <c r="CU32" s="903" t="str">
        <f>VLOOKUP(WWWW[[#This Row],[Site Name]],SiteDB6[[Site Name]:[Location Type 1]],9,FALSE)</f>
        <v>Camp</v>
      </c>
      <c r="CV32" s="903" t="str">
        <f>VLOOKUP(WWWW[[#This Row],[Site Name]],SiteDB6[[Site Name]:[Type of Accommodation]],10,FALSE)</f>
        <v>Planned Camp</v>
      </c>
      <c r="CW32" s="903" t="str">
        <f>VLOOKUP(WWWW[[#This Row],[Site Name]],SiteDB6[[Site Name]:[Ethnic or GCA/NGCA]],11,FALSE)</f>
        <v>Muslim</v>
      </c>
      <c r="CX32" s="903">
        <f>VLOOKUP(WWWW[[#This Row],[Site Name]],SiteDB6[[Site Name]:[Lat]],12,FALSE)</f>
        <v>20.16846</v>
      </c>
      <c r="CY32" s="903">
        <f>VLOOKUP(WWWW[[#This Row],[Site Name]],SiteDB6[[Site Name]:[Long]],13,FALSE)</f>
        <v>92.827427</v>
      </c>
      <c r="CZ32" s="903" t="str">
        <f>VLOOKUP(WWWW[[#This Row],[Site Name]],SiteDB6[[Site Name]:[Pcode]],3,FALSE)</f>
        <v>MMR012CMP041</v>
      </c>
      <c r="DA32" s="916" t="str">
        <f t="shared" si="1"/>
        <v>Covered</v>
      </c>
      <c r="DB32" s="477">
        <f>VLOOKUP(WWWW[[#This Row],[Site Name]],SiteDB6[[Site Name]:[PWD_Total]],22,FALSE)</f>
        <v>104</v>
      </c>
      <c r="DC32" s="477">
        <f>VLOOKUP(WWWW[[#This Row],[Site Name]],SiteDB6[[Site Name]:[PWD_Total]],23,FALSE)</f>
        <v>810</v>
      </c>
      <c r="DD32" s="477">
        <f>WWWW[[#This Row],['# of Male_People with disabilities]]+WWWW[[#This Row],['# of Female_People with disabilities]]</f>
        <v>914</v>
      </c>
      <c r="DE32" s="903"/>
      <c r="DF32" s="916"/>
      <c r="DG32" s="916"/>
      <c r="DH32" s="916"/>
      <c r="DI32" s="916">
        <f>VLOOKUP(WWWW[[#This Row],[Site Name]],SiteDB6[[Site Name]:[Pop
(CCCM as of Autust 2021)]],16,FALSE)</f>
        <v>1713</v>
      </c>
      <c r="DJ32" s="916">
        <f>VLOOKUP(WWWW[[#This Row],[Site Name]],SiteDB6[[Site Name]:[Pop
(CCCM as of Autust 2021)]],17,FALSE)</f>
        <v>11460</v>
      </c>
    </row>
    <row r="33" spans="1:114">
      <c r="A33" s="896" t="s">
        <v>3145</v>
      </c>
      <c r="B33" s="901" t="s">
        <v>2269</v>
      </c>
      <c r="C33" s="902" t="s">
        <v>2620</v>
      </c>
      <c r="D33" s="902" t="s">
        <v>3187</v>
      </c>
      <c r="E33" s="856" t="s">
        <v>293</v>
      </c>
      <c r="F33" s="902" t="s">
        <v>294</v>
      </c>
      <c r="G33" s="857" t="s">
        <v>43</v>
      </c>
      <c r="H33" s="902" t="s">
        <v>2271</v>
      </c>
      <c r="I33" s="904">
        <v>400</v>
      </c>
      <c r="J33" s="904">
        <v>2248</v>
      </c>
      <c r="K33" s="684">
        <f>WWWW[[#This Row],[Total PoP ]]/WWWW[[#This Row],[Total HH]]</f>
        <v>5.62</v>
      </c>
      <c r="L33" s="905">
        <v>44652</v>
      </c>
      <c r="M33" s="906">
        <v>44834</v>
      </c>
      <c r="N33" s="904"/>
      <c r="O33" s="500">
        <v>43</v>
      </c>
      <c r="P33" s="904">
        <v>53</v>
      </c>
      <c r="Q33" s="500"/>
      <c r="R33" s="500"/>
      <c r="S33" s="904"/>
      <c r="T33" s="904"/>
      <c r="U33" s="904">
        <v>10</v>
      </c>
      <c r="V33" s="907">
        <v>0.4</v>
      </c>
      <c r="W33" s="904"/>
      <c r="X33" s="907"/>
      <c r="Y33" s="904"/>
      <c r="Z33" s="500"/>
      <c r="AA33" s="500"/>
      <c r="AB33" s="908"/>
      <c r="AC33" s="904">
        <v>86</v>
      </c>
      <c r="AD33" s="904">
        <v>116</v>
      </c>
      <c r="AE33" s="904">
        <v>56</v>
      </c>
      <c r="AF33" s="904">
        <v>57</v>
      </c>
      <c r="AG33" s="907">
        <v>1</v>
      </c>
      <c r="AH33" s="907">
        <v>0.64</v>
      </c>
      <c r="AI33" s="907">
        <v>0.73</v>
      </c>
      <c r="AJ33" s="904">
        <v>12</v>
      </c>
      <c r="AK33" s="904">
        <v>29</v>
      </c>
      <c r="AL33" s="904">
        <v>4</v>
      </c>
      <c r="AM33" s="500"/>
      <c r="AN33" s="904" t="s">
        <v>41</v>
      </c>
      <c r="AO33" s="909"/>
      <c r="AP33" s="904">
        <v>501</v>
      </c>
      <c r="AQ33" s="904">
        <v>661</v>
      </c>
      <c r="AR33" s="904"/>
      <c r="AS33" s="904"/>
      <c r="AT33" s="904">
        <v>392</v>
      </c>
      <c r="AU33" s="904">
        <v>784</v>
      </c>
      <c r="AV33" s="450">
        <v>1</v>
      </c>
      <c r="AW33" s="907">
        <v>1</v>
      </c>
      <c r="AX33" s="451">
        <v>5</v>
      </c>
      <c r="AY33" s="910"/>
      <c r="AZ33" s="450">
        <v>1</v>
      </c>
      <c r="BA33" s="450">
        <v>1</v>
      </c>
      <c r="BB33" s="450">
        <v>1</v>
      </c>
      <c r="BC33" s="450">
        <v>1</v>
      </c>
      <c r="BD33" s="450"/>
      <c r="BE33" s="500"/>
      <c r="BF33" s="500"/>
      <c r="BG33" s="500"/>
      <c r="BH33" s="500"/>
      <c r="BI33" s="500"/>
      <c r="BJ33" s="500"/>
      <c r="BK33" s="500"/>
      <c r="BL33" s="911" t="str">
        <f>IF(WWWW[[#This Row],['#_Water samples_Tested_at_water_source]]="","no test","Tested")</f>
        <v>Tested</v>
      </c>
      <c r="BM33" s="911" t="str">
        <f>IF(WWWW[[#This Row],['#_Water samples_Tested_at_HH]]="","no test","Tested")</f>
        <v>no test</v>
      </c>
      <c r="BN33" s="912" t="str">
        <f>IF(AND(WWWW[[#This Row],[Water_testing_at source]]="no test",WWWW[[#This Row],[Water_testing_at HH]]="no test"),"No Test","Tested")</f>
        <v>Tested</v>
      </c>
      <c r="BO33"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3" s="913">
        <f>WWWW[[#This Row],[% HRP1]]*WWWW[[#This Row],[Total PoP ]]</f>
        <v>2248</v>
      </c>
      <c r="BQ33" s="914">
        <f>WWWW[[#This Row],[HRP1]]/500</f>
        <v>4.4960000000000004</v>
      </c>
      <c r="BR33" s="915">
        <f>1-WWWW[[#This Row],[% HRP1]]</f>
        <v>0</v>
      </c>
      <c r="BS33" s="914">
        <f>WWWW[[#This Row],[%equitable and continuous access to sufficient quantity of safe drinking and domestic water''s GAP]]*WWWW[[#This Row],[Total PoP ]]</f>
        <v>0</v>
      </c>
      <c r="BT33" s="451">
        <f>ROUND(IF(WWWW[[#This Row],[Total PoP ]]&lt;500,1,WWWW[[#This Row],[Total PoP ]]/500),0)</f>
        <v>4</v>
      </c>
      <c r="BU33" s="912">
        <f>IF(WWWW[[#This Row],[Total required water points]]-WWWW[[#This Row],['#Water points coverage]]&lt;0,0,WWWW[[#This Row],[Total required water points]]-WWWW[[#This Row],['#Water points coverage]])</f>
        <v>0</v>
      </c>
      <c r="BV33" s="452">
        <f>WWWW[[#This Row],[HRP2]]/WWWW[[#This Row],[Total PoP ]]</f>
        <v>0.88478647686832745</v>
      </c>
      <c r="BW33"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1989</v>
      </c>
      <c r="BX33" s="455">
        <f>IF(WWWW[[#This Row],['#_Functional_adult_latrines]]="","",WWWW[[#This Row],[Total PoP ]]/WWWW[[#This Row],['#_Functional_adult_latrines]])</f>
        <v>26.13953488372093</v>
      </c>
      <c r="BY33" s="912">
        <f>WWWW[[#This Row],['#_of_latrines_in_TLS/CFS]]*50</f>
        <v>200</v>
      </c>
      <c r="BZ33" s="451">
        <f>IF(WWWW[[#This Row],['#_of_latrines_in_THF]]="",0,WWWW[[#This Row],['#_of_latrines_in_THF]]*50)</f>
        <v>0</v>
      </c>
      <c r="CA33" s="912">
        <f>ROUND(IF(WWWW[[#This Row],[Location Type 1]]="camp",WWWW[[#This Row],[Total PoP ]]/20),0)</f>
        <v>112</v>
      </c>
      <c r="CB33" s="912">
        <f>IF(WWWW[[#This Row],[Total required Latrines]]-WWWW[[#This Row],['#_Existing_latrines]]&lt;0,0,WWWW[[#This Row],[Total required Latrines]]-WWWW[[#This Row],['#_Existing_latrines]])</f>
        <v>0</v>
      </c>
      <c r="CC33" s="915">
        <f>1-WWWW[[#This Row],[% HRP2]]</f>
        <v>0.11521352313167255</v>
      </c>
      <c r="CD33" s="911">
        <f>IF(WWWW[[#This Row],['#_Existing_latrines]]="","NA",(WWWW[[#This Row],['#_Existing_latrines]]-WWWW[[#This Row],['#_Functional_adult_latrines]])/WWWW[[#This Row],['#_Existing_latrines]])</f>
        <v>0.25862068965517243</v>
      </c>
      <c r="CE33"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1162</v>
      </c>
      <c r="CF33"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G33" s="912">
        <f>IF(WWWW[[#This Row],['#_of_affected_women_and_girls_receiving_a_sufficient_quantity_of_sanitary_pads]]&gt;WWWW[[#This Row],[Total PoP ]],WWWW[[#This Row],[Total PoP ]],WWWW[[#This Row],['#_of_affected_women_and_girls_receiving_a_sufficient_quantity_of_sanitary_pads]])</f>
        <v>784</v>
      </c>
      <c r="CH33" s="912">
        <f>IF(WWWW[[#This Row],['# People with access to soap]]&gt;WWWW[[#This Row],['# People with access to Sanity Pads]],WWWW[[#This Row],['# People with access to soap]],WWWW[[#This Row],['# People with access to Sanity Pads]])</f>
        <v>2203.04</v>
      </c>
      <c r="CI33" s="912">
        <f>IF(WWWW[[#This Row],['# people reached by regular dedicated hygiene promotion_5]]&gt;WWWW[[#This Row],['# People received regular supply of hygiene items_6]],WWWW[[#This Row],['# people reached by regular dedicated hygiene promotion_5]],WWWW[[#This Row],['# People received regular supply of hygiene items_6]])</f>
        <v>2203.04</v>
      </c>
      <c r="CJ33" s="915">
        <f>IF(WWWW[[#This Row],[HRP3]]/WWWW[[#This Row],[Total PoP ]]&gt;100%,100%,WWWW[[#This Row],[HRP3]]/WWWW[[#This Row],[Total PoP ]])</f>
        <v>0.98</v>
      </c>
      <c r="CK33" s="911">
        <f>1-WWWW[[#This Row],[Hygiene Coverage%]]</f>
        <v>2.0000000000000018E-2</v>
      </c>
      <c r="CL33" s="907">
        <f>WWWW[[#This Row],['# people reached by regular dedicated hygiene promotion_5]]/WWWW[[#This Row],[Total PoP ]]</f>
        <v>0.51690391459074736</v>
      </c>
      <c r="CM33" s="911">
        <f>IF(WWWW[[#This Row],['#_of_affected_households_receiving_a_sufficient_quantity_of_soap]]/WWWW[[#This Row],[Total HH]]&gt;1,1,WWWW[[#This Row],['#_of_affected_households_receiving_a_sufficient_quantity_of_soap]]/WWWW[[#This Row],[Total HH]])</f>
        <v>0.98</v>
      </c>
      <c r="CN33" s="455" t="str">
        <f>IF(WWWW[[#This Row],['#_students at TLS_CFS]]="","No","Yes")</f>
        <v>No</v>
      </c>
      <c r="CO33" s="452">
        <f>WWWW[[#This Row],[%_of_affected_people_surveyed_who_report_feeling_informed_about_the_different_WASH_services_available_to_them]]</f>
        <v>1</v>
      </c>
      <c r="CP3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3" s="500">
        <f>IF(WWWW[[#This Row],['#_PPL_accessed_water_in_TLS]]&gt;WWWW[[#This Row],['# students access to functioning school latrines_HRP5]],WWWW[[#This Row],['#_PPL_accessed_water_in_TLS]],WWWW[[#This Row],['# students access to functioning school latrines_HRP5]])</f>
        <v>200</v>
      </c>
      <c r="CR33" s="500">
        <f>IF(WWWW[[#This Row],['#_PPL_accessed_water_in_THF]]&gt;WWWW[[#This Row],['# people access to functioning latrines in THF_HRP6]],WWWW[[#This Row],['#_PPL_accessed_water_in_THF]],WWWW[[#This Row],['# people access to functioning latrines in THF_HRP6]])</f>
        <v>0</v>
      </c>
      <c r="CS33" s="903" t="str">
        <f>VLOOKUP(WWWW[[#This Row],[Site Name]],SiteDB6[[Site Name]:[CCCM Management]],6,FALSE)</f>
        <v>Yes</v>
      </c>
      <c r="CT33" s="903">
        <f>VLOOKUP(WWWW[[#This Row],[Site Name]],SiteDB6[[Site Name]:[CCCM Focal Agency]],7,FALSE)</f>
        <v>0</v>
      </c>
      <c r="CU33" s="903" t="str">
        <f>VLOOKUP(WWWW[[#This Row],[Site Name]],SiteDB6[[Site Name]:[Location Type 1]],9,FALSE)</f>
        <v>Camp</v>
      </c>
      <c r="CV33" s="903" t="str">
        <f>VLOOKUP(WWWW[[#This Row],[Site Name]],SiteDB6[[Site Name]:[Type of Accommodation]],10,FALSE)</f>
        <v>Planned Camp</v>
      </c>
      <c r="CW33" s="903" t="str">
        <f>VLOOKUP(WWWW[[#This Row],[Site Name]],SiteDB6[[Site Name]:[Ethnic or GCA/NGCA]],11,FALSE)</f>
        <v>Muslim</v>
      </c>
      <c r="CX33" s="903">
        <f>VLOOKUP(WWWW[[#This Row],[Site Name]],SiteDB6[[Site Name]:[Lat]],12,FALSE)</f>
        <v>20.181778000000001</v>
      </c>
      <c r="CY33" s="903">
        <f>VLOOKUP(WWWW[[#This Row],[Site Name]],SiteDB6[[Site Name]:[Long]],13,FALSE)</f>
        <v>92.823166999999998</v>
      </c>
      <c r="CZ33" s="903" t="str">
        <f>VLOOKUP(WWWW[[#This Row],[Site Name]],SiteDB6[[Site Name]:[Pcode]],3,FALSE)</f>
        <v>MMR012CMP042</v>
      </c>
      <c r="DA33" s="916" t="str">
        <f t="shared" si="1"/>
        <v>Covered</v>
      </c>
      <c r="DB33" s="477">
        <f>VLOOKUP(WWWW[[#This Row],[Site Name]],SiteDB6[[Site Name]:[PWD_Total]],22,FALSE)</f>
        <v>47</v>
      </c>
      <c r="DC33" s="477">
        <f>VLOOKUP(WWWW[[#This Row],[Site Name]],SiteDB6[[Site Name]:[PWD_Total]],23,FALSE)</f>
        <v>306</v>
      </c>
      <c r="DD33" s="477">
        <f>WWWW[[#This Row],['# of Male_People with disabilities]]+WWWW[[#This Row],['# of Female_People with disabilities]]</f>
        <v>353</v>
      </c>
      <c r="DE33" s="903"/>
      <c r="DF33" s="916"/>
      <c r="DG33" s="916"/>
      <c r="DH33" s="916"/>
      <c r="DI33" s="916">
        <f>VLOOKUP(WWWW[[#This Row],[Site Name]],SiteDB6[[Site Name]:[Pop
(CCCM as of Autust 2021)]],16,FALSE)</f>
        <v>392</v>
      </c>
      <c r="DJ33" s="916">
        <f>VLOOKUP(WWWW[[#This Row],[Site Name]],SiteDB6[[Site Name]:[Pop
(CCCM as of Autust 2021)]],17,FALSE)</f>
        <v>2455</v>
      </c>
    </row>
    <row r="34" spans="1:114">
      <c r="A34" s="896" t="s">
        <v>3145</v>
      </c>
      <c r="B34" s="901" t="s">
        <v>2270</v>
      </c>
      <c r="C34" s="902" t="s">
        <v>2270</v>
      </c>
      <c r="D34" s="902" t="s">
        <v>3187</v>
      </c>
      <c r="E34" s="856" t="s">
        <v>293</v>
      </c>
      <c r="F34" s="902" t="s">
        <v>294</v>
      </c>
      <c r="G34" s="857" t="s">
        <v>43</v>
      </c>
      <c r="H34" s="902" t="s">
        <v>2272</v>
      </c>
      <c r="I34" s="904">
        <v>400</v>
      </c>
      <c r="J34" s="904">
        <v>2262</v>
      </c>
      <c r="K34" s="684">
        <f>WWWW[[#This Row],[Total PoP ]]/WWWW[[#This Row],[Total HH]]</f>
        <v>5.6550000000000002</v>
      </c>
      <c r="L34" s="905">
        <v>44652</v>
      </c>
      <c r="M34" s="906">
        <v>44834</v>
      </c>
      <c r="N34" s="904"/>
      <c r="O34" s="500">
        <v>22</v>
      </c>
      <c r="P34" s="904">
        <v>25</v>
      </c>
      <c r="Q34" s="500"/>
      <c r="R34" s="500"/>
      <c r="S34" s="904"/>
      <c r="T34" s="904"/>
      <c r="U34" s="904">
        <v>4</v>
      </c>
      <c r="V34" s="907">
        <v>0.5</v>
      </c>
      <c r="W34" s="904"/>
      <c r="X34" s="907"/>
      <c r="Y34" s="904"/>
      <c r="Z34" s="500"/>
      <c r="AA34" s="500"/>
      <c r="AB34" s="908"/>
      <c r="AC34" s="904">
        <v>91</v>
      </c>
      <c r="AD34" s="904">
        <v>104</v>
      </c>
      <c r="AE34" s="904">
        <v>56</v>
      </c>
      <c r="AF34" s="904">
        <v>46</v>
      </c>
      <c r="AG34" s="907">
        <v>1</v>
      </c>
      <c r="AH34" s="907">
        <v>1</v>
      </c>
      <c r="AI34" s="907">
        <v>0.36</v>
      </c>
      <c r="AJ34" s="904"/>
      <c r="AK34" s="904"/>
      <c r="AL34" s="904"/>
      <c r="AM34" s="500"/>
      <c r="AN34" s="904" t="s">
        <v>41</v>
      </c>
      <c r="AO34" s="909"/>
      <c r="AP34" s="904">
        <v>11</v>
      </c>
      <c r="AQ34" s="904">
        <v>105</v>
      </c>
      <c r="AR34" s="904">
        <v>30</v>
      </c>
      <c r="AS34" s="904">
        <v>44</v>
      </c>
      <c r="AT34" s="904">
        <v>400</v>
      </c>
      <c r="AU34" s="904">
        <v>800</v>
      </c>
      <c r="AV34" s="450">
        <v>0.88</v>
      </c>
      <c r="AW34" s="907">
        <v>1</v>
      </c>
      <c r="AX34" s="451"/>
      <c r="AY34" s="910"/>
      <c r="AZ34" s="450">
        <v>0.91</v>
      </c>
      <c r="BA34" s="450">
        <v>1</v>
      </c>
      <c r="BB34" s="450">
        <v>0.91</v>
      </c>
      <c r="BC34" s="450">
        <v>0.86</v>
      </c>
      <c r="BD34" s="450"/>
      <c r="BE34" s="500">
        <v>104</v>
      </c>
      <c r="BF34" s="500"/>
      <c r="BG34" s="500"/>
      <c r="BH34" s="500"/>
      <c r="BI34" s="500"/>
      <c r="BJ34" s="500"/>
      <c r="BK34" s="500"/>
      <c r="BL34" s="911" t="str">
        <f>IF(WWWW[[#This Row],['#_Water samples_Tested_at_water_source]]="","no test","Tested")</f>
        <v>Tested</v>
      </c>
      <c r="BM34" s="911" t="str">
        <f>IF(WWWW[[#This Row],['#_Water samples_Tested_at_HH]]="","no test","Tested")</f>
        <v>no test</v>
      </c>
      <c r="BN34" s="912" t="str">
        <f>IF(AND(WWWW[[#This Row],[Water_testing_at source]]="no test",WWWW[[#This Row],[Water_testing_at HH]]="no test"),"No Test","Tested")</f>
        <v>Tested</v>
      </c>
      <c r="BO34"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4" s="913">
        <f>WWWW[[#This Row],[% HRP1]]*WWWW[[#This Row],[Total PoP ]]</f>
        <v>2262</v>
      </c>
      <c r="BQ34" s="914">
        <f>WWWW[[#This Row],[HRP1]]/500</f>
        <v>4.524</v>
      </c>
      <c r="BR34" s="915">
        <f>1-WWWW[[#This Row],[% HRP1]]</f>
        <v>0</v>
      </c>
      <c r="BS34" s="914">
        <f>WWWW[[#This Row],[%equitable and continuous access to sufficient quantity of safe drinking and domestic water''s GAP]]*WWWW[[#This Row],[Total PoP ]]</f>
        <v>0</v>
      </c>
      <c r="BT34" s="451">
        <f>ROUND(IF(WWWW[[#This Row],[Total PoP ]]&lt;500,1,WWWW[[#This Row],[Total PoP ]]/500),0)</f>
        <v>5</v>
      </c>
      <c r="BU34" s="912">
        <f>IF(WWWW[[#This Row],[Total required water points]]-WWWW[[#This Row],['#Water points coverage]]&lt;0,0,WWWW[[#This Row],[Total required water points]]-WWWW[[#This Row],['#Water points coverage]])</f>
        <v>0.47599999999999998</v>
      </c>
      <c r="BV34" s="452">
        <f>WWWW[[#This Row],[HRP2]]/WWWW[[#This Row],[Total PoP ]]</f>
        <v>0.8045977011494253</v>
      </c>
      <c r="BW34"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1820</v>
      </c>
      <c r="BX34" s="455">
        <f>IF(WWWW[[#This Row],['#_Functional_adult_latrines]]="","",WWWW[[#This Row],[Total PoP ]]/WWWW[[#This Row],['#_Functional_adult_latrines]])</f>
        <v>24.857142857142858</v>
      </c>
      <c r="BY34" s="912">
        <f>WWWW[[#This Row],['#_of_latrines_in_TLS/CFS]]*50</f>
        <v>0</v>
      </c>
      <c r="BZ34" s="451">
        <f>IF(WWWW[[#This Row],['#_of_latrines_in_THF]]="",0,WWWW[[#This Row],['#_of_latrines_in_THF]]*50)</f>
        <v>0</v>
      </c>
      <c r="CA34" s="912">
        <f>ROUND(IF(WWWW[[#This Row],[Location Type 1]]="camp",WWWW[[#This Row],[Total PoP ]]/20),0)</f>
        <v>113</v>
      </c>
      <c r="CB34" s="912">
        <f>IF(WWWW[[#This Row],[Total required Latrines]]-WWWW[[#This Row],['#_Existing_latrines]]&lt;0,0,WWWW[[#This Row],[Total required Latrines]]-WWWW[[#This Row],['#_Existing_latrines]])</f>
        <v>9</v>
      </c>
      <c r="CC34" s="915">
        <f>1-WWWW[[#This Row],[% HRP2]]</f>
        <v>0.1954022988505747</v>
      </c>
      <c r="CD34" s="911">
        <f>IF(WWWW[[#This Row],['#_Existing_latrines]]="","NA",(WWWW[[#This Row],['#_Existing_latrines]]-WWWW[[#This Row],['#_Functional_adult_latrines]])/WWWW[[#This Row],['#_Existing_latrines]])</f>
        <v>0.125</v>
      </c>
      <c r="CE34"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190</v>
      </c>
      <c r="CF34"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G34" s="912">
        <f>IF(WWWW[[#This Row],['#_of_affected_women_and_girls_receiving_a_sufficient_quantity_of_sanitary_pads]]&gt;WWWW[[#This Row],[Total PoP ]],WWWW[[#This Row],[Total PoP ]],WWWW[[#This Row],['#_of_affected_women_and_girls_receiving_a_sufficient_quantity_of_sanitary_pads]])</f>
        <v>800</v>
      </c>
      <c r="CH34" s="912">
        <f>IF(WWWW[[#This Row],['# People with access to soap]]&gt;WWWW[[#This Row],['# People with access to Sanity Pads]],WWWW[[#This Row],['# People with access to soap]],WWWW[[#This Row],['# People with access to Sanity Pads]])</f>
        <v>2262</v>
      </c>
      <c r="CI34" s="912">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J34" s="915">
        <f>IF(WWWW[[#This Row],[HRP3]]/WWWW[[#This Row],[Total PoP ]]&gt;100%,100%,WWWW[[#This Row],[HRP3]]/WWWW[[#This Row],[Total PoP ]])</f>
        <v>1</v>
      </c>
      <c r="CK34" s="911">
        <f>1-WWWW[[#This Row],[Hygiene Coverage%]]</f>
        <v>0</v>
      </c>
      <c r="CL34" s="907">
        <f>WWWW[[#This Row],['# people reached by regular dedicated hygiene promotion_5]]/WWWW[[#This Row],[Total PoP ]]</f>
        <v>8.3996463306808128E-2</v>
      </c>
      <c r="CM34" s="911">
        <f>IF(WWWW[[#This Row],['#_of_affected_households_receiving_a_sufficient_quantity_of_soap]]/WWWW[[#This Row],[Total HH]]&gt;1,1,WWWW[[#This Row],['#_of_affected_households_receiving_a_sufficient_quantity_of_soap]]/WWWW[[#This Row],[Total HH]])</f>
        <v>1</v>
      </c>
      <c r="CN34" s="455" t="str">
        <f>IF(WWWW[[#This Row],['#_students at TLS_CFS]]="","No","Yes")</f>
        <v>No</v>
      </c>
      <c r="CO34" s="452">
        <f>WWWW[[#This Row],[%_of_affected_people_surveyed_who_report_feeling_informed_about_the_different_WASH_services_available_to_them]]</f>
        <v>0.91</v>
      </c>
      <c r="CP3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104</v>
      </c>
      <c r="CQ34" s="500">
        <f>IF(WWWW[[#This Row],['#_PPL_accessed_water_in_TLS]]&gt;WWWW[[#This Row],['# students access to functioning school latrines_HRP5]],WWWW[[#This Row],['#_PPL_accessed_water_in_TLS]],WWWW[[#This Row],['# students access to functioning school latrines_HRP5]])</f>
        <v>0</v>
      </c>
      <c r="CR34" s="500">
        <f>IF(WWWW[[#This Row],['#_PPL_accessed_water_in_THF]]&gt;WWWW[[#This Row],['# people access to functioning latrines in THF_HRP6]],WWWW[[#This Row],['#_PPL_accessed_water_in_THF]],WWWW[[#This Row],['# people access to functioning latrines in THF_HRP6]])</f>
        <v>0</v>
      </c>
      <c r="CS34" s="903">
        <f>VLOOKUP(WWWW[[#This Row],[Site Name]],SiteDB6[[Site Name]:[CCCM Management]],6,FALSE)</f>
        <v>0</v>
      </c>
      <c r="CT34" s="903">
        <f>VLOOKUP(WWWW[[#This Row],[Site Name]],SiteDB6[[Site Name]:[CCCM Focal Agency]],7,FALSE)</f>
        <v>0</v>
      </c>
      <c r="CU34" s="903" t="str">
        <f>VLOOKUP(WWWW[[#This Row],[Site Name]],SiteDB6[[Site Name]:[Location Type 1]],9,FALSE)</f>
        <v>Camp</v>
      </c>
      <c r="CV34" s="903" t="str">
        <f>VLOOKUP(WWWW[[#This Row],[Site Name]],SiteDB6[[Site Name]:[Type of Accommodation]],10,FALSE)</f>
        <v>Planned Camp</v>
      </c>
      <c r="CW34" s="903" t="str">
        <f>VLOOKUP(WWWW[[#This Row],[Site Name]],SiteDB6[[Site Name]:[Ethnic or GCA/NGCA]],11,FALSE)</f>
        <v>Muslim</v>
      </c>
      <c r="CX34" s="903">
        <f>VLOOKUP(WWWW[[#This Row],[Site Name]],SiteDB6[[Site Name]:[Lat]],12,FALSE)</f>
        <v>20.180194</v>
      </c>
      <c r="CY34" s="903">
        <f>VLOOKUP(WWWW[[#This Row],[Site Name]],SiteDB6[[Site Name]:[Long]],13,FALSE)</f>
        <v>92.816638999999995</v>
      </c>
      <c r="CZ34" s="903" t="str">
        <f>VLOOKUP(WWWW[[#This Row],[Site Name]],SiteDB6[[Site Name]:[Pcode]],3,FALSE)</f>
        <v>MMR012CMP042</v>
      </c>
      <c r="DA34" s="916" t="str">
        <f t="shared" si="1"/>
        <v>Covered</v>
      </c>
      <c r="DB34" s="477">
        <f>VLOOKUP(WWWW[[#This Row],[Site Name]],SiteDB6[[Site Name]:[PWD_Total]],22,FALSE)</f>
        <v>70</v>
      </c>
      <c r="DC34" s="477">
        <f>VLOOKUP(WWWW[[#This Row],[Site Name]],SiteDB6[[Site Name]:[PWD_Total]],23,FALSE)</f>
        <v>241</v>
      </c>
      <c r="DD34" s="477">
        <f>WWWW[[#This Row],['# of Male_People with disabilities]]+WWWW[[#This Row],['# of Female_People with disabilities]]</f>
        <v>311</v>
      </c>
      <c r="DE34" s="903"/>
      <c r="DF34" s="916"/>
      <c r="DG34" s="916"/>
      <c r="DH34" s="916"/>
      <c r="DI34" s="916">
        <f>VLOOKUP(WWWW[[#This Row],[Site Name]],SiteDB6[[Site Name]:[Pop
(CCCM as of Autust 2021)]],16,FALSE)</f>
        <v>400</v>
      </c>
      <c r="DJ34" s="916">
        <f>VLOOKUP(WWWW[[#This Row],[Site Name]],SiteDB6[[Site Name]:[Pop
(CCCM as of Autust 2021)]],17,FALSE)</f>
        <v>2228</v>
      </c>
    </row>
    <row r="35" spans="1:114">
      <c r="A35" s="896" t="s">
        <v>3145</v>
      </c>
      <c r="B35" s="901" t="s">
        <v>2256</v>
      </c>
      <c r="C35" s="902" t="s">
        <v>2256</v>
      </c>
      <c r="D35" s="902" t="s">
        <v>230</v>
      </c>
      <c r="E35" s="856" t="s">
        <v>293</v>
      </c>
      <c r="F35" s="902" t="s">
        <v>356</v>
      </c>
      <c r="G35" s="857" t="s">
        <v>43</v>
      </c>
      <c r="H35" s="902" t="s">
        <v>367</v>
      </c>
      <c r="I35" s="904">
        <v>384</v>
      </c>
      <c r="J35" s="904">
        <v>1084</v>
      </c>
      <c r="K35" s="684">
        <f>WWWW[[#This Row],[Total PoP ]]/WWWW[[#This Row],[Total HH]]</f>
        <v>2.8229166666666665</v>
      </c>
      <c r="L35" s="905">
        <v>44378</v>
      </c>
      <c r="M35" s="906">
        <v>44742</v>
      </c>
      <c r="N35" s="904"/>
      <c r="O35" s="500"/>
      <c r="P35" s="904"/>
      <c r="Q35" s="500">
        <v>14</v>
      </c>
      <c r="R35" s="500">
        <v>19</v>
      </c>
      <c r="S35" s="904"/>
      <c r="T35" s="904">
        <v>1084</v>
      </c>
      <c r="U35" s="904">
        <v>46</v>
      </c>
      <c r="V35" s="907">
        <v>1</v>
      </c>
      <c r="W35" s="904">
        <v>114</v>
      </c>
      <c r="X35" s="907">
        <v>0.96</v>
      </c>
      <c r="Y35" s="904"/>
      <c r="Z35" s="500">
        <v>196</v>
      </c>
      <c r="AA35" s="500"/>
      <c r="AB35" s="908"/>
      <c r="AC35" s="904">
        <v>94</v>
      </c>
      <c r="AD35" s="904">
        <v>94</v>
      </c>
      <c r="AE35" s="904">
        <v>15</v>
      </c>
      <c r="AF35" s="904">
        <v>94</v>
      </c>
      <c r="AG35" s="907">
        <v>1</v>
      </c>
      <c r="AH35" s="907">
        <v>1</v>
      </c>
      <c r="AI35" s="907">
        <v>1</v>
      </c>
      <c r="AJ35" s="904"/>
      <c r="AK35" s="904"/>
      <c r="AL35" s="904">
        <v>8</v>
      </c>
      <c r="AM35" s="500"/>
      <c r="AN35" s="904" t="s">
        <v>41</v>
      </c>
      <c r="AO35" s="909"/>
      <c r="AP35" s="904">
        <v>126</v>
      </c>
      <c r="AQ35" s="904">
        <v>195</v>
      </c>
      <c r="AR35" s="904">
        <v>37</v>
      </c>
      <c r="AS35" s="904">
        <v>43</v>
      </c>
      <c r="AT35" s="904">
        <v>384</v>
      </c>
      <c r="AU35" s="904">
        <v>510</v>
      </c>
      <c r="AV35" s="450">
        <v>0.02</v>
      </c>
      <c r="AW35" s="907">
        <v>0.98</v>
      </c>
      <c r="AX35" s="451">
        <v>8</v>
      </c>
      <c r="AY35" s="910"/>
      <c r="AZ35" s="450">
        <v>0.98</v>
      </c>
      <c r="BA35" s="450">
        <v>0.98</v>
      </c>
      <c r="BB35" s="450"/>
      <c r="BC35" s="450">
        <v>0</v>
      </c>
      <c r="BD35" s="450"/>
      <c r="BE35" s="500"/>
      <c r="BF35" s="500">
        <v>3</v>
      </c>
      <c r="BG35" s="500"/>
      <c r="BH35" s="500"/>
      <c r="BI35" s="500"/>
      <c r="BJ35" s="500"/>
      <c r="BK35" s="500"/>
      <c r="BL35" s="911" t="str">
        <f>IF(WWWW[[#This Row],['#_Water samples_Tested_at_water_source]]="","no test","Tested")</f>
        <v>Tested</v>
      </c>
      <c r="BM35" s="911" t="str">
        <f>IF(WWWW[[#This Row],['#_Water samples_Tested_at_HH]]="","no test","Tested")</f>
        <v>Tested</v>
      </c>
      <c r="BN35" s="912" t="str">
        <f>IF(AND(WWWW[[#This Row],[Water_testing_at source]]="no test",WWWW[[#This Row],[Water_testing_at HH]]="no test"),"No Test","Tested")</f>
        <v>Tested</v>
      </c>
      <c r="BO35"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5" s="913">
        <f>WWWW[[#This Row],[% HRP1]]*WWWW[[#This Row],[Total PoP ]]</f>
        <v>1084</v>
      </c>
      <c r="BQ35" s="914">
        <f>WWWW[[#This Row],[HRP1]]/500</f>
        <v>2.1680000000000001</v>
      </c>
      <c r="BR35" s="915">
        <f>1-WWWW[[#This Row],[% HRP1]]</f>
        <v>0</v>
      </c>
      <c r="BS35" s="914">
        <f>WWWW[[#This Row],[%equitable and continuous access to sufficient quantity of safe drinking and domestic water''s GAP]]*WWWW[[#This Row],[Total PoP ]]</f>
        <v>0</v>
      </c>
      <c r="BT35" s="451">
        <f>ROUND(IF(WWWW[[#This Row],[Total PoP ]]&lt;500,1,WWWW[[#This Row],[Total PoP ]]/500),0)</f>
        <v>2</v>
      </c>
      <c r="BU35" s="912">
        <f>IF(WWWW[[#This Row],[Total required water points]]-WWWW[[#This Row],['#Water points coverage]]&lt;0,0,WWWW[[#This Row],[Total required water points]]-WWWW[[#This Row],['#Water points coverage]])</f>
        <v>0</v>
      </c>
      <c r="BV35" s="452">
        <f>WWWW[[#This Row],[HRP2]]/WWWW[[#This Row],[Total PoP ]]</f>
        <v>1</v>
      </c>
      <c r="BW35"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1084</v>
      </c>
      <c r="BX35" s="455">
        <f>IF(WWWW[[#This Row],['#_Functional_adult_latrines]]="","",WWWW[[#This Row],[Total PoP ]]/WWWW[[#This Row],['#_Functional_adult_latrines]])</f>
        <v>11.531914893617021</v>
      </c>
      <c r="BY35" s="912">
        <f>WWWW[[#This Row],['#_of_latrines_in_TLS/CFS]]*50</f>
        <v>400</v>
      </c>
      <c r="BZ35" s="451">
        <f>IF(WWWW[[#This Row],['#_of_latrines_in_THF]]="",0,WWWW[[#This Row],['#_of_latrines_in_THF]]*50)</f>
        <v>0</v>
      </c>
      <c r="CA35" s="912">
        <f>ROUND(IF(WWWW[[#This Row],[Location Type 1]]="camp",WWWW[[#This Row],[Total PoP ]]/20),0)</f>
        <v>54</v>
      </c>
      <c r="CB35" s="912">
        <f>IF(WWWW[[#This Row],[Total required Latrines]]-WWWW[[#This Row],['#_Existing_latrines]]&lt;0,0,WWWW[[#This Row],[Total required Latrines]]-WWWW[[#This Row],['#_Existing_latrines]])</f>
        <v>0</v>
      </c>
      <c r="CC35" s="915">
        <f>1-WWWW[[#This Row],[% HRP2]]</f>
        <v>0</v>
      </c>
      <c r="CD35" s="911">
        <f>IF(WWWW[[#This Row],['#_Existing_latrines]]="","NA",(WWWW[[#This Row],['#_Existing_latrines]]-WWWW[[#This Row],['#_Functional_adult_latrines]])/WWWW[[#This Row],['#_Existing_latrines]])</f>
        <v>0</v>
      </c>
      <c r="CE35"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401</v>
      </c>
      <c r="CF35"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1084</v>
      </c>
      <c r="CG35" s="912">
        <f>IF(WWWW[[#This Row],['#_of_affected_women_and_girls_receiving_a_sufficient_quantity_of_sanitary_pads]]&gt;WWWW[[#This Row],[Total PoP ]],WWWW[[#This Row],[Total PoP ]],WWWW[[#This Row],['#_of_affected_women_and_girls_receiving_a_sufficient_quantity_of_sanitary_pads]])</f>
        <v>510</v>
      </c>
      <c r="CH35" s="912">
        <f>IF(WWWW[[#This Row],['# People with access to soap]]&gt;WWWW[[#This Row],['# People with access to Sanity Pads]],WWWW[[#This Row],['# People with access to soap]],WWWW[[#This Row],['# People with access to Sanity Pads]])</f>
        <v>1084</v>
      </c>
      <c r="CI35" s="912">
        <f>IF(WWWW[[#This Row],['# people reached by regular dedicated hygiene promotion_5]]&gt;WWWW[[#This Row],['# People received regular supply of hygiene items_6]],WWWW[[#This Row],['# people reached by regular dedicated hygiene promotion_5]],WWWW[[#This Row],['# People received regular supply of hygiene items_6]])</f>
        <v>1084</v>
      </c>
      <c r="CJ35" s="915">
        <f>IF(WWWW[[#This Row],[HRP3]]/WWWW[[#This Row],[Total PoP ]]&gt;100%,100%,WWWW[[#This Row],[HRP3]]/WWWW[[#This Row],[Total PoP ]])</f>
        <v>1</v>
      </c>
      <c r="CK35" s="911">
        <f>1-WWWW[[#This Row],[Hygiene Coverage%]]</f>
        <v>0</v>
      </c>
      <c r="CL35" s="907">
        <f>WWWW[[#This Row],['# people reached by regular dedicated hygiene promotion_5]]/WWWW[[#This Row],[Total PoP ]]</f>
        <v>0.36992619926199261</v>
      </c>
      <c r="CM35" s="911">
        <f>IF(WWWW[[#This Row],['#_of_affected_households_receiving_a_sufficient_quantity_of_soap]]/WWWW[[#This Row],[Total HH]]&gt;1,1,WWWW[[#This Row],['#_of_affected_households_receiving_a_sufficient_quantity_of_soap]]/WWWW[[#This Row],[Total HH]])</f>
        <v>1</v>
      </c>
      <c r="CN35" s="455" t="str">
        <f>IF(WWWW[[#This Row],['#_students at TLS_CFS]]="","No","Yes")</f>
        <v>No</v>
      </c>
      <c r="CO35" s="452">
        <f>WWWW[[#This Row],[%_of_affected_people_surveyed_who_report_feeling_informed_about_the_different_WASH_services_available_to_them]]</f>
        <v>0</v>
      </c>
      <c r="CP3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CQ35" s="500">
        <f>IF(WWWW[[#This Row],['#_PPL_accessed_water_in_TLS]]&gt;WWWW[[#This Row],['# students access to functioning school latrines_HRP5]],WWWW[[#This Row],['#_PPL_accessed_water_in_TLS]],WWWW[[#This Row],['# students access to functioning school latrines_HRP5]])</f>
        <v>400</v>
      </c>
      <c r="CR35" s="500">
        <f>IF(WWWW[[#This Row],['#_PPL_accessed_water_in_THF]]&gt;WWWW[[#This Row],['# people access to functioning latrines in THF_HRP6]],WWWW[[#This Row],['#_PPL_accessed_water_in_THF]],WWWW[[#This Row],['# people access to functioning latrines in THF_HRP6]])</f>
        <v>0</v>
      </c>
      <c r="CS35" s="903" t="str">
        <f>VLOOKUP(WWWW[[#This Row],[Site Name]],SiteDB6[[Site Name]:[CCCM Management]],6,FALSE)</f>
        <v>Yes</v>
      </c>
      <c r="CT35" s="903" t="str">
        <f>VLOOKUP(WWWW[[#This Row],[Site Name]],SiteDB6[[Site Name]:[CCCM Focal Agency]],7,FALSE)</f>
        <v>UNHCR</v>
      </c>
      <c r="CU35" s="903" t="str">
        <f>VLOOKUP(WWWW[[#This Row],[Site Name]],SiteDB6[[Site Name]:[Location Type 1]],9,FALSE)</f>
        <v>Camp</v>
      </c>
      <c r="CV35" s="903" t="str">
        <f>VLOOKUP(WWWW[[#This Row],[Site Name]],SiteDB6[[Site Name]:[Type of Accommodation]],10,FALSE)</f>
        <v>Planned Camp</v>
      </c>
      <c r="CW35" s="903" t="str">
        <f>VLOOKUP(WWWW[[#This Row],[Site Name]],SiteDB6[[Site Name]:[Ethnic or GCA/NGCA]],11,FALSE)</f>
        <v>Muslim</v>
      </c>
      <c r="CX35" s="903">
        <f>VLOOKUP(WWWW[[#This Row],[Site Name]],SiteDB6[[Site Name]:[Lat]],12,FALSE)</f>
        <v>19.424576999999999</v>
      </c>
      <c r="CY35" s="903">
        <f>VLOOKUP(WWWW[[#This Row],[Site Name]],SiteDB6[[Site Name]:[Long]],13,FALSE)</f>
        <v>93.512326000000002</v>
      </c>
      <c r="CZ35" s="903" t="str">
        <f>VLOOKUP(WWWW[[#This Row],[Site Name]],SiteDB6[[Site Name]:[Pcode]],3,FALSE)</f>
        <v>MMR012CMP035</v>
      </c>
      <c r="DA35" s="916" t="str">
        <f t="shared" si="1"/>
        <v>Covered</v>
      </c>
      <c r="DB35" s="477">
        <f>VLOOKUP(WWWW[[#This Row],[Site Name]],SiteDB6[[Site Name]:[PWD_Total]],22,FALSE)</f>
        <v>0</v>
      </c>
      <c r="DC35" s="477">
        <f>VLOOKUP(WWWW[[#This Row],[Site Name]],SiteDB6[[Site Name]:[PWD_Total]],23,FALSE)</f>
        <v>0</v>
      </c>
      <c r="DD35" s="477">
        <f>WWWW[[#This Row],['# of Male_People with disabilities]]+WWWW[[#This Row],['# of Female_People with disabilities]]</f>
        <v>0</v>
      </c>
      <c r="DE35" s="903"/>
      <c r="DF35" s="916"/>
      <c r="DG35" s="916"/>
      <c r="DH35" s="916"/>
      <c r="DI35" s="916">
        <f>VLOOKUP(WWWW[[#This Row],[Site Name]],SiteDB6[[Site Name]:[Pop
(CCCM as of Autust 2021)]],16,FALSE)</f>
        <v>334</v>
      </c>
      <c r="DJ35" s="916">
        <f>VLOOKUP(WWWW[[#This Row],[Site Name]],SiteDB6[[Site Name]:[Pop
(CCCM as of Autust 2021)]],17,FALSE)</f>
        <v>1001</v>
      </c>
    </row>
    <row r="36" spans="1:114">
      <c r="A36" s="896" t="s">
        <v>3145</v>
      </c>
      <c r="B36" s="901" t="s">
        <v>265</v>
      </c>
      <c r="C36" s="902" t="s">
        <v>265</v>
      </c>
      <c r="D36" s="902" t="s">
        <v>2952</v>
      </c>
      <c r="E36" s="856" t="s">
        <v>293</v>
      </c>
      <c r="F36" s="902" t="s">
        <v>401</v>
      </c>
      <c r="G36" s="857" t="s">
        <v>43</v>
      </c>
      <c r="H36" s="902" t="s">
        <v>409</v>
      </c>
      <c r="I36" s="904">
        <v>1389</v>
      </c>
      <c r="J36" s="904">
        <v>6680</v>
      </c>
      <c r="K36" s="684">
        <f>WWWW[[#This Row],[Total PoP ]]/WWWW[[#This Row],[Total HH]]</f>
        <v>4.8092152627789773</v>
      </c>
      <c r="L36" s="905" t="s">
        <v>3188</v>
      </c>
      <c r="M36" s="906" t="s">
        <v>3189</v>
      </c>
      <c r="N36" s="904"/>
      <c r="O36" s="500"/>
      <c r="P36" s="904"/>
      <c r="Q36" s="500">
        <v>36</v>
      </c>
      <c r="R36" s="500">
        <v>36</v>
      </c>
      <c r="S36" s="904">
        <v>3766000</v>
      </c>
      <c r="T36" s="904">
        <v>6680</v>
      </c>
      <c r="U36" s="904">
        <v>4</v>
      </c>
      <c r="V36" s="907">
        <v>0.75</v>
      </c>
      <c r="W36" s="904">
        <v>6</v>
      </c>
      <c r="X36" s="907">
        <v>0.5</v>
      </c>
      <c r="Y36" s="904">
        <v>78</v>
      </c>
      <c r="Z36" s="500"/>
      <c r="AA36" s="500"/>
      <c r="AB36" s="908" t="s">
        <v>3192</v>
      </c>
      <c r="AC36" s="904">
        <v>230</v>
      </c>
      <c r="AD36" s="904">
        <v>238</v>
      </c>
      <c r="AE36" s="904">
        <v>8</v>
      </c>
      <c r="AF36" s="904">
        <v>138</v>
      </c>
      <c r="AG36" s="907">
        <v>0.99</v>
      </c>
      <c r="AH36" s="907">
        <v>0.99</v>
      </c>
      <c r="AI36" s="907">
        <v>0.99</v>
      </c>
      <c r="AJ36" s="904">
        <v>18</v>
      </c>
      <c r="AK36" s="904">
        <v>114</v>
      </c>
      <c r="AL36" s="904"/>
      <c r="AM36" s="500"/>
      <c r="AN36" s="904" t="s">
        <v>41</v>
      </c>
      <c r="AO36" s="909" t="s">
        <v>3191</v>
      </c>
      <c r="AP36" s="904">
        <v>1376</v>
      </c>
      <c r="AQ36" s="904">
        <v>1499</v>
      </c>
      <c r="AR36" s="904">
        <v>1955</v>
      </c>
      <c r="AS36" s="904">
        <v>1850</v>
      </c>
      <c r="AT36" s="904">
        <v>1389</v>
      </c>
      <c r="AU36" s="904">
        <v>1763</v>
      </c>
      <c r="AV36" s="450">
        <v>0.24</v>
      </c>
      <c r="AW36" s="907">
        <v>0.38</v>
      </c>
      <c r="AX36" s="451">
        <v>0</v>
      </c>
      <c r="AY36" s="910"/>
      <c r="AZ36" s="450">
        <v>1</v>
      </c>
      <c r="BA36" s="450">
        <v>0.49</v>
      </c>
      <c r="BB36" s="450">
        <v>0.95</v>
      </c>
      <c r="BC36" s="450">
        <v>1</v>
      </c>
      <c r="BD36" s="450">
        <v>5.1000000000000004E-3</v>
      </c>
      <c r="BE36" s="500"/>
      <c r="BF36" s="500"/>
      <c r="BG36" s="500"/>
      <c r="BH36" s="500"/>
      <c r="BI36" s="500"/>
      <c r="BJ36" s="500"/>
      <c r="BK36" s="500"/>
      <c r="BL36" s="911" t="str">
        <f>IF(WWWW[[#This Row],['#_Water samples_Tested_at_water_source]]="","no test","Tested")</f>
        <v>Tested</v>
      </c>
      <c r="BM36" s="911" t="str">
        <f>IF(WWWW[[#This Row],['#_Water samples_Tested_at_HH]]="","no test","Tested")</f>
        <v>Tested</v>
      </c>
      <c r="BN36" s="912" t="str">
        <f>IF(AND(WWWW[[#This Row],[Water_testing_at source]]="no test",WWWW[[#This Row],[Water_testing_at HH]]="no test"),"No Test","Tested")</f>
        <v>Tested</v>
      </c>
      <c r="BO36"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6" s="913">
        <f>WWWW[[#This Row],[% HRP1]]*WWWW[[#This Row],[Total PoP ]]</f>
        <v>6680</v>
      </c>
      <c r="BQ36" s="914">
        <f>WWWW[[#This Row],[HRP1]]/500</f>
        <v>13.36</v>
      </c>
      <c r="BR36" s="915">
        <f>1-WWWW[[#This Row],[% HRP1]]</f>
        <v>0</v>
      </c>
      <c r="BS36" s="914">
        <f>WWWW[[#This Row],[%equitable and continuous access to sufficient quantity of safe drinking and domestic water''s GAP]]*WWWW[[#This Row],[Total PoP ]]</f>
        <v>0</v>
      </c>
      <c r="BT36" s="451">
        <f>ROUND(IF(WWWW[[#This Row],[Total PoP ]]&lt;500,1,WWWW[[#This Row],[Total PoP ]]/500),0)</f>
        <v>13</v>
      </c>
      <c r="BU36" s="912">
        <f>IF(WWWW[[#This Row],[Total required water points]]-WWWW[[#This Row],['#Water points coverage]]&lt;0,0,WWWW[[#This Row],[Total required water points]]-WWWW[[#This Row],['#Water points coverage]])</f>
        <v>0</v>
      </c>
      <c r="BV36" s="452">
        <f>WWWW[[#This Row],[HRP2]]/WWWW[[#This Row],[Total PoP ]]</f>
        <v>0.75958083832335332</v>
      </c>
      <c r="BW36"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36" s="455">
        <f>IF(WWWW[[#This Row],['#_Functional_adult_latrines]]="","",WWWW[[#This Row],[Total PoP ]]/WWWW[[#This Row],['#_Functional_adult_latrines]])</f>
        <v>29.043478260869566</v>
      </c>
      <c r="BY36" s="912">
        <f>WWWW[[#This Row],['#_of_latrines_in_TLS/CFS]]*50</f>
        <v>0</v>
      </c>
      <c r="BZ36" s="451">
        <f>IF(WWWW[[#This Row],['#_of_latrines_in_THF]]="",0,WWWW[[#This Row],['#_of_latrines_in_THF]]*50)</f>
        <v>0</v>
      </c>
      <c r="CA36" s="912">
        <f>ROUND(IF(WWWW[[#This Row],[Location Type 1]]="camp",WWWW[[#This Row],[Total PoP ]]/20),0)</f>
        <v>334</v>
      </c>
      <c r="CB36" s="912">
        <f>IF(WWWW[[#This Row],[Total required Latrines]]-WWWW[[#This Row],['#_Existing_latrines]]&lt;0,0,WWWW[[#This Row],[Total required Latrines]]-WWWW[[#This Row],['#_Existing_latrines]])</f>
        <v>96</v>
      </c>
      <c r="CC36" s="915">
        <f>1-WWWW[[#This Row],[% HRP2]]</f>
        <v>0.24041916167664668</v>
      </c>
      <c r="CD36" s="911">
        <f>IF(WWWW[[#This Row],['#_Existing_latrines]]="","NA",(WWWW[[#This Row],['#_Existing_latrines]]-WWWW[[#This Row],['#_Functional_adult_latrines]])/WWWW[[#This Row],['#_Existing_latrines]])</f>
        <v>3.3613445378151259E-2</v>
      </c>
      <c r="CE36"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6680</v>
      </c>
      <c r="CF36"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G36" s="912">
        <f>IF(WWWW[[#This Row],['#_of_affected_women_and_girls_receiving_a_sufficient_quantity_of_sanitary_pads]]&gt;WWWW[[#This Row],[Total PoP ]],WWWW[[#This Row],[Total PoP ]],WWWW[[#This Row],['#_of_affected_women_and_girls_receiving_a_sufficient_quantity_of_sanitary_pads]])</f>
        <v>1763</v>
      </c>
      <c r="CH36" s="912">
        <f>IF(WWWW[[#This Row],['# People with access to soap]]&gt;WWWW[[#This Row],['# People with access to Sanity Pads]],WWWW[[#This Row],['# People with access to soap]],WWWW[[#This Row],['# People with access to Sanity Pads]])</f>
        <v>6680</v>
      </c>
      <c r="CI36" s="912">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J36" s="915">
        <f>IF(WWWW[[#This Row],[HRP3]]/WWWW[[#This Row],[Total PoP ]]&gt;100%,100%,WWWW[[#This Row],[HRP3]]/WWWW[[#This Row],[Total PoP ]])</f>
        <v>1</v>
      </c>
      <c r="CK36" s="911">
        <f>1-WWWW[[#This Row],[Hygiene Coverage%]]</f>
        <v>0</v>
      </c>
      <c r="CL36" s="907">
        <f>WWWW[[#This Row],['# people reached by regular dedicated hygiene promotion_5]]/WWWW[[#This Row],[Total PoP ]]</f>
        <v>1</v>
      </c>
      <c r="CM36" s="911">
        <f>IF(WWWW[[#This Row],['#_of_affected_households_receiving_a_sufficient_quantity_of_soap]]/WWWW[[#This Row],[Total HH]]&gt;1,1,WWWW[[#This Row],['#_of_affected_households_receiving_a_sufficient_quantity_of_soap]]/WWWW[[#This Row],[Total HH]])</f>
        <v>1</v>
      </c>
      <c r="CN36" s="455" t="str">
        <f>IF(WWWW[[#This Row],['#_students at TLS_CFS]]="","No","Yes")</f>
        <v>No</v>
      </c>
      <c r="CO36" s="452">
        <f>WWWW[[#This Row],[%_of_affected_people_surveyed_who_report_feeling_informed_about_the_different_WASH_services_available_to_them]]</f>
        <v>0.95</v>
      </c>
      <c r="CP3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6" s="500">
        <f>IF(WWWW[[#This Row],['#_PPL_accessed_water_in_TLS]]&gt;WWWW[[#This Row],['# students access to functioning school latrines_HRP5]],WWWW[[#This Row],['#_PPL_accessed_water_in_TLS]],WWWW[[#This Row],['# students access to functioning school latrines_HRP5]])</f>
        <v>0</v>
      </c>
      <c r="CR36" s="500">
        <f>IF(WWWW[[#This Row],['#_PPL_accessed_water_in_THF]]&gt;WWWW[[#This Row],['# people access to functioning latrines in THF_HRP6]],WWWW[[#This Row],['#_PPL_accessed_water_in_THF]],WWWW[[#This Row],['# people access to functioning latrines in THF_HRP6]])</f>
        <v>0</v>
      </c>
      <c r="CS36" s="903" t="str">
        <f>VLOOKUP(WWWW[[#This Row],[Site Name]],SiteDB6[[Site Name]:[CCCM Management]],6,FALSE)</f>
        <v>Yes</v>
      </c>
      <c r="CT36" s="903" t="str">
        <f>VLOOKUP(WWWW[[#This Row],[Site Name]],SiteDB6[[Site Name]:[CCCM Focal Agency]],7,FALSE)</f>
        <v>DRC</v>
      </c>
      <c r="CU36" s="903" t="str">
        <f>VLOOKUP(WWWW[[#This Row],[Site Name]],SiteDB6[[Site Name]:[Location Type 1]],9,FALSE)</f>
        <v>Camp</v>
      </c>
      <c r="CV36" s="903" t="str">
        <f>VLOOKUP(WWWW[[#This Row],[Site Name]],SiteDB6[[Site Name]:[Type of Accommodation]],10,FALSE)</f>
        <v>Planned Camp</v>
      </c>
      <c r="CW36" s="903" t="str">
        <f>VLOOKUP(WWWW[[#This Row],[Site Name]],SiteDB6[[Site Name]:[Ethnic or GCA/NGCA]],11,FALSE)</f>
        <v>Muslim</v>
      </c>
      <c r="CX36" s="903">
        <f>VLOOKUP(WWWW[[#This Row],[Site Name]],SiteDB6[[Site Name]:[Lat]],12,FALSE)</f>
        <v>20.090183</v>
      </c>
      <c r="CY36" s="903">
        <f>VLOOKUP(WWWW[[#This Row],[Site Name]],SiteDB6[[Site Name]:[Long]],13,FALSE)</f>
        <v>93.010368999999997</v>
      </c>
      <c r="CZ36" s="903" t="str">
        <f>VLOOKUP(WWWW[[#This Row],[Site Name]],SiteDB6[[Site Name]:[Pcode]],3,FALSE)</f>
        <v>MMR012CMP018</v>
      </c>
      <c r="DA36" s="916" t="str">
        <f t="shared" si="1"/>
        <v>Covered</v>
      </c>
      <c r="DB36" s="477">
        <f>VLOOKUP(WWWW[[#This Row],[Site Name]],SiteDB6[[Site Name]:[PWD_Total]],22,FALSE)</f>
        <v>95</v>
      </c>
      <c r="DC36" s="477">
        <f>VLOOKUP(WWWW[[#This Row],[Site Name]],SiteDB6[[Site Name]:[PWD_Total]],23,FALSE)</f>
        <v>1102</v>
      </c>
      <c r="DD36" s="477">
        <f>WWWW[[#This Row],['# of Male_People with disabilities]]+WWWW[[#This Row],['# of Female_People with disabilities]]</f>
        <v>1197</v>
      </c>
      <c r="DE36" s="903"/>
      <c r="DF36" s="916"/>
      <c r="DG36" s="916"/>
      <c r="DH36" s="916"/>
      <c r="DI36" s="916">
        <f>VLOOKUP(WWWW[[#This Row],[Site Name]],SiteDB6[[Site Name]:[Pop
(CCCM as of Autust 2021)]],16,FALSE)</f>
        <v>1387</v>
      </c>
      <c r="DJ36" s="916">
        <f>VLOOKUP(WWWW[[#This Row],[Site Name]],SiteDB6[[Site Name]:[Pop
(CCCM as of Autust 2021)]],17,FALSE)</f>
        <v>6674</v>
      </c>
    </row>
    <row r="37" spans="1:114">
      <c r="A37" s="896" t="s">
        <v>3145</v>
      </c>
      <c r="B37" s="901" t="s">
        <v>2620</v>
      </c>
      <c r="C37" s="902" t="s">
        <v>2269</v>
      </c>
      <c r="D37" s="902" t="s">
        <v>3187</v>
      </c>
      <c r="E37" s="856" t="s">
        <v>293</v>
      </c>
      <c r="F37" s="902" t="s">
        <v>294</v>
      </c>
      <c r="G37" s="857" t="s">
        <v>43</v>
      </c>
      <c r="H37" s="902" t="s">
        <v>430</v>
      </c>
      <c r="I37" s="904">
        <v>656</v>
      </c>
      <c r="J37" s="904">
        <v>3486</v>
      </c>
      <c r="K37" s="684">
        <f>WWWW[[#This Row],[Total PoP ]]/WWWW[[#This Row],[Total HH]]</f>
        <v>5.3140243902439028</v>
      </c>
      <c r="L37" s="905">
        <v>44652</v>
      </c>
      <c r="M37" s="906">
        <v>44834</v>
      </c>
      <c r="N37" s="904"/>
      <c r="O37" s="500">
        <v>35</v>
      </c>
      <c r="P37" s="904">
        <v>39</v>
      </c>
      <c r="Q37" s="500"/>
      <c r="R37" s="500"/>
      <c r="S37" s="904"/>
      <c r="T37" s="904"/>
      <c r="U37" s="904">
        <v>8</v>
      </c>
      <c r="V37" s="907">
        <v>0.13</v>
      </c>
      <c r="W37" s="904"/>
      <c r="X37" s="907"/>
      <c r="Y37" s="904"/>
      <c r="Z37" s="500"/>
      <c r="AA37" s="500"/>
      <c r="AB37" s="908"/>
      <c r="AC37" s="904">
        <v>142</v>
      </c>
      <c r="AD37" s="904">
        <v>228</v>
      </c>
      <c r="AE37" s="904">
        <v>105</v>
      </c>
      <c r="AF37" s="904">
        <v>96</v>
      </c>
      <c r="AG37" s="907">
        <v>1</v>
      </c>
      <c r="AH37" s="907">
        <v>0.88</v>
      </c>
      <c r="AI37" s="907">
        <v>0.53</v>
      </c>
      <c r="AJ37" s="904">
        <v>2</v>
      </c>
      <c r="AK37" s="904">
        <v>42</v>
      </c>
      <c r="AL37" s="904">
        <v>8</v>
      </c>
      <c r="AM37" s="500"/>
      <c r="AN37" s="904" t="s">
        <v>41</v>
      </c>
      <c r="AO37" s="909"/>
      <c r="AP37" s="904">
        <v>667</v>
      </c>
      <c r="AQ37" s="904">
        <v>1100</v>
      </c>
      <c r="AR37" s="904"/>
      <c r="AS37" s="904"/>
      <c r="AT37" s="904">
        <v>656</v>
      </c>
      <c r="AU37" s="904">
        <v>1312</v>
      </c>
      <c r="AV37" s="450">
        <v>1</v>
      </c>
      <c r="AW37" s="907">
        <v>1</v>
      </c>
      <c r="AX37" s="451">
        <v>3</v>
      </c>
      <c r="AY37" s="910"/>
      <c r="AZ37" s="450">
        <v>1</v>
      </c>
      <c r="BA37" s="450">
        <v>1</v>
      </c>
      <c r="BB37" s="450">
        <v>1</v>
      </c>
      <c r="BC37" s="450">
        <v>0.67</v>
      </c>
      <c r="BD37" s="450"/>
      <c r="BE37" s="500"/>
      <c r="BF37" s="500"/>
      <c r="BG37" s="500"/>
      <c r="BH37" s="500"/>
      <c r="BI37" s="500"/>
      <c r="BJ37" s="500"/>
      <c r="BK37" s="500"/>
      <c r="BL37" s="911" t="str">
        <f>IF(WWWW[[#This Row],['#_Water samples_Tested_at_water_source]]="","no test","Tested")</f>
        <v>Tested</v>
      </c>
      <c r="BM37" s="911" t="str">
        <f>IF(WWWW[[#This Row],['#_Water samples_Tested_at_HH]]="","no test","Tested")</f>
        <v>no test</v>
      </c>
      <c r="BN37" s="912" t="str">
        <f>IF(AND(WWWW[[#This Row],[Water_testing_at source]]="no test",WWWW[[#This Row],[Water_testing_at HH]]="no test"),"No Test","Tested")</f>
        <v>Tested</v>
      </c>
      <c r="BO37"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7" s="913">
        <f>WWWW[[#This Row],[% HRP1]]*WWWW[[#This Row],[Total PoP ]]</f>
        <v>3486</v>
      </c>
      <c r="BQ37" s="914">
        <f>WWWW[[#This Row],[HRP1]]/500</f>
        <v>6.9720000000000004</v>
      </c>
      <c r="BR37" s="915">
        <f>1-WWWW[[#This Row],[% HRP1]]</f>
        <v>0</v>
      </c>
      <c r="BS37" s="914">
        <f>WWWW[[#This Row],[%equitable and continuous access to sufficient quantity of safe drinking and domestic water''s GAP]]*WWWW[[#This Row],[Total PoP ]]</f>
        <v>0</v>
      </c>
      <c r="BT37" s="451">
        <f>ROUND(IF(WWWW[[#This Row],[Total PoP ]]&lt;500,1,WWWW[[#This Row],[Total PoP ]]/500),0)</f>
        <v>7</v>
      </c>
      <c r="BU37" s="912">
        <f>IF(WWWW[[#This Row],[Total required water points]]-WWWW[[#This Row],['#Water points coverage]]&lt;0,0,WWWW[[#This Row],[Total required water points]]-WWWW[[#This Row],['#Water points coverage]])</f>
        <v>2.7999999999999581E-2</v>
      </c>
      <c r="BV37" s="452">
        <f>WWWW[[#This Row],[HRP2]]/WWWW[[#This Row],[Total PoP ]]</f>
        <v>0.83820998278829606</v>
      </c>
      <c r="BW37"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2922</v>
      </c>
      <c r="BX37" s="455">
        <f>IF(WWWW[[#This Row],['#_Functional_adult_latrines]]="","",WWWW[[#This Row],[Total PoP ]]/WWWW[[#This Row],['#_Functional_adult_latrines]])</f>
        <v>24.549295774647888</v>
      </c>
      <c r="BY37" s="912">
        <f>WWWW[[#This Row],['#_of_latrines_in_TLS/CFS]]*50</f>
        <v>400</v>
      </c>
      <c r="BZ37" s="451">
        <f>IF(WWWW[[#This Row],['#_of_latrines_in_THF]]="",0,WWWW[[#This Row],['#_of_latrines_in_THF]]*50)</f>
        <v>0</v>
      </c>
      <c r="CA37" s="912">
        <f>ROUND(IF(WWWW[[#This Row],[Location Type 1]]="camp",WWWW[[#This Row],[Total PoP ]]/20),0)</f>
        <v>174</v>
      </c>
      <c r="CB37" s="912">
        <f>IF(WWWW[[#This Row],[Total required Latrines]]-WWWW[[#This Row],['#_Existing_latrines]]&lt;0,0,WWWW[[#This Row],[Total required Latrines]]-WWWW[[#This Row],['#_Existing_latrines]])</f>
        <v>0</v>
      </c>
      <c r="CC37" s="915">
        <f>1-WWWW[[#This Row],[% HRP2]]</f>
        <v>0.16179001721170394</v>
      </c>
      <c r="CD37" s="911">
        <f>IF(WWWW[[#This Row],['#_Existing_latrines]]="","NA",(WWWW[[#This Row],['#_Existing_latrines]]-WWWW[[#This Row],['#_Functional_adult_latrines]])/WWWW[[#This Row],['#_Existing_latrines]])</f>
        <v>0.37719298245614036</v>
      </c>
      <c r="CE37"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1767</v>
      </c>
      <c r="CF37"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G37" s="912">
        <f>IF(WWWW[[#This Row],['#_of_affected_women_and_girls_receiving_a_sufficient_quantity_of_sanitary_pads]]&gt;WWWW[[#This Row],[Total PoP ]],WWWW[[#This Row],[Total PoP ]],WWWW[[#This Row],['#_of_affected_women_and_girls_receiving_a_sufficient_quantity_of_sanitary_pads]])</f>
        <v>1312</v>
      </c>
      <c r="CH37" s="912">
        <f>IF(WWWW[[#This Row],['# People with access to soap]]&gt;WWWW[[#This Row],['# People with access to Sanity Pads]],WWWW[[#This Row],['# People with access to soap]],WWWW[[#This Row],['# People with access to Sanity Pads]])</f>
        <v>3486</v>
      </c>
      <c r="CI37" s="912">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J37" s="915">
        <f>IF(WWWW[[#This Row],[HRP3]]/WWWW[[#This Row],[Total PoP ]]&gt;100%,100%,WWWW[[#This Row],[HRP3]]/WWWW[[#This Row],[Total PoP ]])</f>
        <v>1</v>
      </c>
      <c r="CK37" s="911">
        <f>1-WWWW[[#This Row],[Hygiene Coverage%]]</f>
        <v>0</v>
      </c>
      <c r="CL37" s="907">
        <f>WWWW[[#This Row],['# people reached by regular dedicated hygiene promotion_5]]/WWWW[[#This Row],[Total PoP ]]</f>
        <v>0.50688468158347677</v>
      </c>
      <c r="CM37" s="911">
        <f>IF(WWWW[[#This Row],['#_of_affected_households_receiving_a_sufficient_quantity_of_soap]]/WWWW[[#This Row],[Total HH]]&gt;1,1,WWWW[[#This Row],['#_of_affected_households_receiving_a_sufficient_quantity_of_soap]]/WWWW[[#This Row],[Total HH]])</f>
        <v>1</v>
      </c>
      <c r="CN37" s="455" t="str">
        <f>IF(WWWW[[#This Row],['#_students at TLS_CFS]]="","No","Yes")</f>
        <v>No</v>
      </c>
      <c r="CO37" s="452">
        <f>WWWW[[#This Row],[%_of_affected_people_surveyed_who_report_feeling_informed_about_the_different_WASH_services_available_to_them]]</f>
        <v>1</v>
      </c>
      <c r="CP3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7" s="500">
        <f>IF(WWWW[[#This Row],['#_PPL_accessed_water_in_TLS]]&gt;WWWW[[#This Row],['# students access to functioning school latrines_HRP5]],WWWW[[#This Row],['#_PPL_accessed_water_in_TLS]],WWWW[[#This Row],['# students access to functioning school latrines_HRP5]])</f>
        <v>400</v>
      </c>
      <c r="CR37" s="500">
        <f>IF(WWWW[[#This Row],['#_PPL_accessed_water_in_THF]]&gt;WWWW[[#This Row],['# people access to functioning latrines in THF_HRP6]],WWWW[[#This Row],['#_PPL_accessed_water_in_THF]],WWWW[[#This Row],['# people access to functioning latrines in THF_HRP6]])</f>
        <v>0</v>
      </c>
      <c r="CS37" s="903" t="str">
        <f>VLOOKUP(WWWW[[#This Row],[Site Name]],SiteDB6[[Site Name]:[CCCM Management]],6,FALSE)</f>
        <v>Yes</v>
      </c>
      <c r="CT37" s="903">
        <f>VLOOKUP(WWWW[[#This Row],[Site Name]],SiteDB6[[Site Name]:[CCCM Focal Agency]],7,FALSE)</f>
        <v>0</v>
      </c>
      <c r="CU37" s="903" t="str">
        <f>VLOOKUP(WWWW[[#This Row],[Site Name]],SiteDB6[[Site Name]:[Location Type 1]],9,FALSE)</f>
        <v>Camp</v>
      </c>
      <c r="CV37" s="903" t="str">
        <f>VLOOKUP(WWWW[[#This Row],[Site Name]],SiteDB6[[Site Name]:[Type of Accommodation]],10,FALSE)</f>
        <v>Planned Camp</v>
      </c>
      <c r="CW37" s="903" t="str">
        <f>VLOOKUP(WWWW[[#This Row],[Site Name]],SiteDB6[[Site Name]:[Ethnic or GCA/NGCA]],11,FALSE)</f>
        <v>Muslim</v>
      </c>
      <c r="CX37" s="903">
        <f>VLOOKUP(WWWW[[#This Row],[Site Name]],SiteDB6[[Site Name]:[Lat]],12,FALSE)</f>
        <v>20.185917</v>
      </c>
      <c r="CY37" s="903">
        <f>VLOOKUP(WWWW[[#This Row],[Site Name]],SiteDB6[[Site Name]:[Long]],13,FALSE)</f>
        <v>92.831000000000003</v>
      </c>
      <c r="CZ37" s="903" t="str">
        <f>VLOOKUP(WWWW[[#This Row],[Site Name]],SiteDB6[[Site Name]:[Pcode]],3,FALSE)</f>
        <v>MMR012CMP092</v>
      </c>
      <c r="DA37" s="916" t="str">
        <f t="shared" si="1"/>
        <v>Covered</v>
      </c>
      <c r="DB37" s="477">
        <f>VLOOKUP(WWWW[[#This Row],[Site Name]],SiteDB6[[Site Name]:[PWD_Total]],22,FALSE)</f>
        <v>88</v>
      </c>
      <c r="DC37" s="477">
        <f>VLOOKUP(WWWW[[#This Row],[Site Name]],SiteDB6[[Site Name]:[PWD_Total]],23,FALSE)</f>
        <v>397</v>
      </c>
      <c r="DD37" s="477">
        <f>WWWW[[#This Row],['# of Male_People with disabilities]]+WWWW[[#This Row],['# of Female_People with disabilities]]</f>
        <v>485</v>
      </c>
      <c r="DE37" s="903"/>
      <c r="DF37" s="916"/>
      <c r="DG37" s="916"/>
      <c r="DH37" s="916"/>
      <c r="DI37" s="916">
        <f>VLOOKUP(WWWW[[#This Row],[Site Name]],SiteDB6[[Site Name]:[Pop
(CCCM as of Autust 2021)]],16,FALSE)</f>
        <v>657</v>
      </c>
      <c r="DJ37" s="916">
        <f>VLOOKUP(WWWW[[#This Row],[Site Name]],SiteDB6[[Site Name]:[Pop
(CCCM as of Autust 2021)]],17,FALSE)</f>
        <v>3906</v>
      </c>
    </row>
    <row r="38" spans="1:114">
      <c r="A38" s="896" t="s">
        <v>3145</v>
      </c>
      <c r="B38" s="901" t="s">
        <v>265</v>
      </c>
      <c r="C38" s="902" t="s">
        <v>265</v>
      </c>
      <c r="D38" s="902" t="s">
        <v>2983</v>
      </c>
      <c r="E38" s="856" t="s">
        <v>293</v>
      </c>
      <c r="F38" s="902" t="s">
        <v>401</v>
      </c>
      <c r="G38" s="857" t="s">
        <v>43</v>
      </c>
      <c r="H38" s="902" t="s">
        <v>405</v>
      </c>
      <c r="I38" s="904">
        <v>1076</v>
      </c>
      <c r="J38" s="904">
        <v>5024</v>
      </c>
      <c r="K38" s="684">
        <f>WWWW[[#This Row],[Total PoP ]]/WWWW[[#This Row],[Total HH]]</f>
        <v>4.6691449814126393</v>
      </c>
      <c r="L38" s="905" t="s">
        <v>3188</v>
      </c>
      <c r="M38" s="906" t="s">
        <v>3189</v>
      </c>
      <c r="N38" s="904"/>
      <c r="O38" s="500"/>
      <c r="P38" s="904"/>
      <c r="Q38" s="500">
        <v>0</v>
      </c>
      <c r="R38" s="500">
        <v>0</v>
      </c>
      <c r="S38" s="904">
        <v>1768448</v>
      </c>
      <c r="T38" s="904">
        <v>5024</v>
      </c>
      <c r="U38" s="904">
        <v>2</v>
      </c>
      <c r="V38" s="907">
        <v>0.5</v>
      </c>
      <c r="W38" s="904">
        <v>5</v>
      </c>
      <c r="X38" s="907">
        <v>1</v>
      </c>
      <c r="Y38" s="904">
        <v>17</v>
      </c>
      <c r="Z38" s="500"/>
      <c r="AA38" s="500"/>
      <c r="AB38" s="908" t="s">
        <v>3192</v>
      </c>
      <c r="AC38" s="904">
        <v>152</v>
      </c>
      <c r="AD38" s="904">
        <v>158</v>
      </c>
      <c r="AE38" s="904">
        <v>6</v>
      </c>
      <c r="AF38" s="904">
        <v>158</v>
      </c>
      <c r="AG38" s="907">
        <v>0.99</v>
      </c>
      <c r="AH38" s="907">
        <v>1</v>
      </c>
      <c r="AI38" s="907">
        <v>0.99</v>
      </c>
      <c r="AJ38" s="904">
        <v>26</v>
      </c>
      <c r="AK38" s="904">
        <v>127</v>
      </c>
      <c r="AL38" s="904"/>
      <c r="AM38" s="500"/>
      <c r="AN38" s="904" t="s">
        <v>41</v>
      </c>
      <c r="AO38" s="909" t="s">
        <v>3191</v>
      </c>
      <c r="AP38" s="904">
        <v>974</v>
      </c>
      <c r="AQ38" s="904">
        <v>1090</v>
      </c>
      <c r="AR38" s="904">
        <v>1516</v>
      </c>
      <c r="AS38" s="904">
        <v>1444</v>
      </c>
      <c r="AT38" s="904">
        <v>1076</v>
      </c>
      <c r="AU38" s="904">
        <v>1294</v>
      </c>
      <c r="AV38" s="450">
        <v>0.94</v>
      </c>
      <c r="AW38" s="907">
        <v>0.56999999999999995</v>
      </c>
      <c r="AX38" s="451">
        <v>1</v>
      </c>
      <c r="AY38" s="910"/>
      <c r="AZ38" s="450">
        <v>1</v>
      </c>
      <c r="BA38" s="450"/>
      <c r="BB38" s="450">
        <v>1</v>
      </c>
      <c r="BC38" s="450">
        <v>1</v>
      </c>
      <c r="BD38" s="450">
        <v>1.0699999999999999E-2</v>
      </c>
      <c r="BE38" s="500">
        <v>4</v>
      </c>
      <c r="BF38" s="500"/>
      <c r="BG38" s="500"/>
      <c r="BH38" s="500"/>
      <c r="BI38" s="500"/>
      <c r="BJ38" s="500"/>
      <c r="BK38" s="500"/>
      <c r="BL38" s="911" t="str">
        <f>IF(WWWW[[#This Row],['#_Water samples_Tested_at_water_source]]="","no test","Tested")</f>
        <v>Tested</v>
      </c>
      <c r="BM38" s="911" t="str">
        <f>IF(WWWW[[#This Row],['#_Water samples_Tested_at_HH]]="","no test","Tested")</f>
        <v>Tested</v>
      </c>
      <c r="BN38" s="912" t="str">
        <f>IF(AND(WWWW[[#This Row],[Water_testing_at source]]="no test",WWWW[[#This Row],[Water_testing_at HH]]="no test"),"No Test","Tested")</f>
        <v>Tested</v>
      </c>
      <c r="BO38"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8" s="913">
        <f>WWWW[[#This Row],[% HRP1]]*WWWW[[#This Row],[Total PoP ]]</f>
        <v>5024</v>
      </c>
      <c r="BQ38" s="914">
        <f>WWWW[[#This Row],[HRP1]]/500</f>
        <v>10.048</v>
      </c>
      <c r="BR38" s="915">
        <f>1-WWWW[[#This Row],[% HRP1]]</f>
        <v>0</v>
      </c>
      <c r="BS38" s="914">
        <f>WWWW[[#This Row],[%equitable and continuous access to sufficient quantity of safe drinking and domestic water''s GAP]]*WWWW[[#This Row],[Total PoP ]]</f>
        <v>0</v>
      </c>
      <c r="BT38" s="451">
        <f>ROUND(IF(WWWW[[#This Row],[Total PoP ]]&lt;500,1,WWWW[[#This Row],[Total PoP ]]/500),0)</f>
        <v>10</v>
      </c>
      <c r="BU38" s="912">
        <f>IF(WWWW[[#This Row],[Total required water points]]-WWWW[[#This Row],['#Water points coverage]]&lt;0,0,WWWW[[#This Row],[Total required water points]]-WWWW[[#This Row],['#Water points coverage]])</f>
        <v>0</v>
      </c>
      <c r="BV38" s="452">
        <f>WWWW[[#This Row],[HRP2]]/WWWW[[#This Row],[Total PoP ]]</f>
        <v>0.73387738853503182</v>
      </c>
      <c r="BW38"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3687</v>
      </c>
      <c r="BX38" s="455">
        <f>IF(WWWW[[#This Row],['#_Functional_adult_latrines]]="","",WWWW[[#This Row],[Total PoP ]]/WWWW[[#This Row],['#_Functional_adult_latrines]])</f>
        <v>33.05263157894737</v>
      </c>
      <c r="BY38" s="912">
        <f>WWWW[[#This Row],['#_of_latrines_in_TLS/CFS]]*50</f>
        <v>0</v>
      </c>
      <c r="BZ38" s="451">
        <f>IF(WWWW[[#This Row],['#_of_latrines_in_THF]]="",0,WWWW[[#This Row],['#_of_latrines_in_THF]]*50)</f>
        <v>0</v>
      </c>
      <c r="CA38" s="912">
        <f>ROUND(IF(WWWW[[#This Row],[Location Type 1]]="camp",WWWW[[#This Row],[Total PoP ]]/20),0)</f>
        <v>251</v>
      </c>
      <c r="CB38" s="912">
        <f>IF(WWWW[[#This Row],[Total required Latrines]]-WWWW[[#This Row],['#_Existing_latrines]]&lt;0,0,WWWW[[#This Row],[Total required Latrines]]-WWWW[[#This Row],['#_Existing_latrines]])</f>
        <v>93</v>
      </c>
      <c r="CC38" s="915">
        <f>1-WWWW[[#This Row],[% HRP2]]</f>
        <v>0.26612261146496818</v>
      </c>
      <c r="CD38" s="911">
        <f>IF(WWWW[[#This Row],['#_Existing_latrines]]="","NA",(WWWW[[#This Row],['#_Existing_latrines]]-WWWW[[#This Row],['#_Functional_adult_latrines]])/WWWW[[#This Row],['#_Existing_latrines]])</f>
        <v>3.7974683544303799E-2</v>
      </c>
      <c r="CE38"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38"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G38" s="912">
        <f>IF(WWWW[[#This Row],['#_of_affected_women_and_girls_receiving_a_sufficient_quantity_of_sanitary_pads]]&gt;WWWW[[#This Row],[Total PoP ]],WWWW[[#This Row],[Total PoP ]],WWWW[[#This Row],['#_of_affected_women_and_girls_receiving_a_sufficient_quantity_of_sanitary_pads]])</f>
        <v>1294</v>
      </c>
      <c r="CH38" s="912">
        <f>IF(WWWW[[#This Row],['# People with access to soap]]&gt;WWWW[[#This Row],['# People with access to Sanity Pads]],WWWW[[#This Row],['# People with access to soap]],WWWW[[#This Row],['# People with access to Sanity Pads]])</f>
        <v>5024</v>
      </c>
      <c r="CI38" s="912">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38" s="915">
        <f>IF(WWWW[[#This Row],[HRP3]]/WWWW[[#This Row],[Total PoP ]]&gt;100%,100%,WWWW[[#This Row],[HRP3]]/WWWW[[#This Row],[Total PoP ]])</f>
        <v>1</v>
      </c>
      <c r="CK38" s="911">
        <f>1-WWWW[[#This Row],[Hygiene Coverage%]]</f>
        <v>0</v>
      </c>
      <c r="CL38" s="907">
        <f>WWWW[[#This Row],['# people reached by regular dedicated hygiene promotion_5]]/WWWW[[#This Row],[Total PoP ]]</f>
        <v>1</v>
      </c>
      <c r="CM38" s="911">
        <f>IF(WWWW[[#This Row],['#_of_affected_households_receiving_a_sufficient_quantity_of_soap]]/WWWW[[#This Row],[Total HH]]&gt;1,1,WWWW[[#This Row],['#_of_affected_households_receiving_a_sufficient_quantity_of_soap]]/WWWW[[#This Row],[Total HH]])</f>
        <v>1</v>
      </c>
      <c r="CN38" s="455" t="str">
        <f>IF(WWWW[[#This Row],['#_students at TLS_CFS]]="","No","Yes")</f>
        <v>No</v>
      </c>
      <c r="CO38" s="452">
        <f>WWWW[[#This Row],[%_of_affected_people_surveyed_who_report_feeling_informed_about_the_different_WASH_services_available_to_them]]</f>
        <v>1</v>
      </c>
      <c r="CP3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v>
      </c>
      <c r="CQ38" s="500">
        <f>IF(WWWW[[#This Row],['#_PPL_accessed_water_in_TLS]]&gt;WWWW[[#This Row],['# students access to functioning school latrines_HRP5]],WWWW[[#This Row],['#_PPL_accessed_water_in_TLS]],WWWW[[#This Row],['# students access to functioning school latrines_HRP5]])</f>
        <v>0</v>
      </c>
      <c r="CR38" s="500">
        <f>IF(WWWW[[#This Row],['#_PPL_accessed_water_in_THF]]&gt;WWWW[[#This Row],['# people access to functioning latrines in THF_HRP6]],WWWW[[#This Row],['#_PPL_accessed_water_in_THF]],WWWW[[#This Row],['# people access to functioning latrines in THF_HRP6]])</f>
        <v>0</v>
      </c>
      <c r="CS38" s="903" t="str">
        <f>VLOOKUP(WWWW[[#This Row],[Site Name]],SiteDB6[[Site Name]:[CCCM Management]],6,FALSE)</f>
        <v>Yes</v>
      </c>
      <c r="CT38" s="903" t="str">
        <f>VLOOKUP(WWWW[[#This Row],[Site Name]],SiteDB6[[Site Name]:[CCCM Focal Agency]],7,FALSE)</f>
        <v>LWF</v>
      </c>
      <c r="CU38" s="903" t="str">
        <f>VLOOKUP(WWWW[[#This Row],[Site Name]],SiteDB6[[Site Name]:[Location Type 1]],9,FALSE)</f>
        <v>Camp</v>
      </c>
      <c r="CV38" s="903" t="str">
        <f>VLOOKUP(WWWW[[#This Row],[Site Name]],SiteDB6[[Site Name]:[Type of Accommodation]],10,FALSE)</f>
        <v>Individual House</v>
      </c>
      <c r="CW38" s="903" t="str">
        <f>VLOOKUP(WWWW[[#This Row],[Site Name]],SiteDB6[[Site Name]:[Ethnic or GCA/NGCA]],11,FALSE)</f>
        <v>Muslim</v>
      </c>
      <c r="CX38" s="903">
        <f>VLOOKUP(WWWW[[#This Row],[Site Name]],SiteDB6[[Site Name]:[Lat]],12,FALSE)</f>
        <v>20.073437999999999</v>
      </c>
      <c r="CY38" s="903">
        <f>VLOOKUP(WWWW[[#This Row],[Site Name]],SiteDB6[[Site Name]:[Long]],13,FALSE)</f>
        <v>93.154551999999995</v>
      </c>
      <c r="CZ38" s="903" t="str">
        <f>VLOOKUP(WWWW[[#This Row],[Site Name]],SiteDB6[[Site Name]:[Pcode]],3,FALSE)</f>
        <v>MMR012CMP017</v>
      </c>
      <c r="DA38" s="916" t="str">
        <f t="shared" si="1"/>
        <v>Covered</v>
      </c>
      <c r="DB38" s="477">
        <f>VLOOKUP(WWWW[[#This Row],[Site Name]],SiteDB6[[Site Name]:[PWD_Total]],22,FALSE)</f>
        <v>159</v>
      </c>
      <c r="DC38" s="477">
        <f>VLOOKUP(WWWW[[#This Row],[Site Name]],SiteDB6[[Site Name]:[PWD_Total]],23,FALSE)</f>
        <v>923</v>
      </c>
      <c r="DD38" s="477">
        <f>WWWW[[#This Row],['# of Male_People with disabilities]]+WWWW[[#This Row],['# of Female_People with disabilities]]</f>
        <v>1082</v>
      </c>
      <c r="DE38" s="903"/>
      <c r="DF38" s="916"/>
      <c r="DG38" s="916"/>
      <c r="DH38" s="916"/>
      <c r="DI38" s="916">
        <f>VLOOKUP(WWWW[[#This Row],[Site Name]],SiteDB6[[Site Name]:[Pop
(CCCM as of Autust 2021)]],16,FALSE)</f>
        <v>1059</v>
      </c>
      <c r="DJ38" s="916">
        <f>VLOOKUP(WWWW[[#This Row],[Site Name]],SiteDB6[[Site Name]:[Pop
(CCCM as of Autust 2021)]],17,FALSE)</f>
        <v>5004</v>
      </c>
    </row>
    <row r="39" spans="1:114">
      <c r="A39" s="896" t="s">
        <v>3145</v>
      </c>
      <c r="B39" s="901" t="s">
        <v>265</v>
      </c>
      <c r="C39" s="902" t="s">
        <v>265</v>
      </c>
      <c r="D39" s="902" t="s">
        <v>2983</v>
      </c>
      <c r="E39" s="856" t="s">
        <v>293</v>
      </c>
      <c r="F39" s="902" t="s">
        <v>401</v>
      </c>
      <c r="G39" s="857" t="s">
        <v>43</v>
      </c>
      <c r="H39" s="902" t="s">
        <v>406</v>
      </c>
      <c r="I39" s="904">
        <v>1064</v>
      </c>
      <c r="J39" s="904">
        <v>5137</v>
      </c>
      <c r="K39" s="684">
        <f>WWWW[[#This Row],[Total PoP ]]/WWWW[[#This Row],[Total HH]]</f>
        <v>4.8280075187969924</v>
      </c>
      <c r="L39" s="905" t="s">
        <v>3188</v>
      </c>
      <c r="M39" s="906" t="s">
        <v>3189</v>
      </c>
      <c r="N39" s="904"/>
      <c r="O39" s="500"/>
      <c r="P39" s="904"/>
      <c r="Q39" s="500">
        <v>0</v>
      </c>
      <c r="R39" s="500">
        <v>0</v>
      </c>
      <c r="S39" s="904">
        <v>1797950</v>
      </c>
      <c r="T39" s="904">
        <v>5137</v>
      </c>
      <c r="U39" s="904"/>
      <c r="V39" s="907"/>
      <c r="W39" s="904"/>
      <c r="X39" s="907"/>
      <c r="Y39" s="904">
        <v>82</v>
      </c>
      <c r="Z39" s="500"/>
      <c r="AA39" s="500"/>
      <c r="AB39" s="908" t="s">
        <v>3192</v>
      </c>
      <c r="AC39" s="904">
        <v>161</v>
      </c>
      <c r="AD39" s="904">
        <v>197</v>
      </c>
      <c r="AE39" s="904"/>
      <c r="AF39" s="904">
        <v>197</v>
      </c>
      <c r="AG39" s="907">
        <v>0.99</v>
      </c>
      <c r="AH39" s="907">
        <v>0.99</v>
      </c>
      <c r="AI39" s="907">
        <v>0.99</v>
      </c>
      <c r="AJ39" s="904">
        <v>36</v>
      </c>
      <c r="AK39" s="904">
        <v>91</v>
      </c>
      <c r="AL39" s="904"/>
      <c r="AM39" s="500"/>
      <c r="AN39" s="904" t="s">
        <v>41</v>
      </c>
      <c r="AO39" s="909" t="s">
        <v>3191</v>
      </c>
      <c r="AP39" s="904">
        <v>1051</v>
      </c>
      <c r="AQ39" s="904">
        <v>1120</v>
      </c>
      <c r="AR39" s="904">
        <v>1582</v>
      </c>
      <c r="AS39" s="904">
        <v>1384</v>
      </c>
      <c r="AT39" s="904">
        <v>1064</v>
      </c>
      <c r="AU39" s="904">
        <v>1366</v>
      </c>
      <c r="AV39" s="450">
        <v>0.45</v>
      </c>
      <c r="AW39" s="907">
        <v>0.37</v>
      </c>
      <c r="AX39" s="451">
        <v>0</v>
      </c>
      <c r="AY39" s="910"/>
      <c r="AZ39" s="450">
        <v>0.92</v>
      </c>
      <c r="BA39" s="450"/>
      <c r="BB39" s="450">
        <v>0.99</v>
      </c>
      <c r="BC39" s="450">
        <v>1</v>
      </c>
      <c r="BD39" s="450"/>
      <c r="BE39" s="500">
        <v>8</v>
      </c>
      <c r="BF39" s="500"/>
      <c r="BG39" s="500"/>
      <c r="BH39" s="500"/>
      <c r="BI39" s="500"/>
      <c r="BJ39" s="500"/>
      <c r="BK39" s="500"/>
      <c r="BL39" s="911" t="str">
        <f>IF(WWWW[[#This Row],['#_Water samples_Tested_at_water_source]]="","no test","Tested")</f>
        <v>no test</v>
      </c>
      <c r="BM39" s="911" t="str">
        <f>IF(WWWW[[#This Row],['#_Water samples_Tested_at_HH]]="","no test","Tested")</f>
        <v>no test</v>
      </c>
      <c r="BN39" s="912" t="str">
        <f>IF(AND(WWWW[[#This Row],[Water_testing_at source]]="no test",WWWW[[#This Row],[Water_testing_at HH]]="no test"),"No Test","Tested")</f>
        <v>No Test</v>
      </c>
      <c r="BO39"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9" s="913">
        <f>WWWW[[#This Row],[% HRP1]]*WWWW[[#This Row],[Total PoP ]]</f>
        <v>5137</v>
      </c>
      <c r="BQ39" s="914">
        <f>WWWW[[#This Row],[HRP1]]/500</f>
        <v>10.273999999999999</v>
      </c>
      <c r="BR39" s="915">
        <f>1-WWWW[[#This Row],[% HRP1]]</f>
        <v>0</v>
      </c>
      <c r="BS39" s="914">
        <f>WWWW[[#This Row],[%equitable and continuous access to sufficient quantity of safe drinking and domestic water''s GAP]]*WWWW[[#This Row],[Total PoP ]]</f>
        <v>0</v>
      </c>
      <c r="BT39" s="451">
        <f>ROUND(IF(WWWW[[#This Row],[Total PoP ]]&lt;500,1,WWWW[[#This Row],[Total PoP ]]/500),0)</f>
        <v>10</v>
      </c>
      <c r="BU39" s="912">
        <f>IF(WWWW[[#This Row],[Total required water points]]-WWWW[[#This Row],['#Water points coverage]]&lt;0,0,WWWW[[#This Row],[Total required water points]]-WWWW[[#This Row],['#Water points coverage]])</f>
        <v>0</v>
      </c>
      <c r="BV39" s="452">
        <f>WWWW[[#This Row],[HRP2]]/WWWW[[#This Row],[Total PoP ]]</f>
        <v>0.78469924080202458</v>
      </c>
      <c r="BW39"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4031</v>
      </c>
      <c r="BX39" s="455">
        <f>IF(WWWW[[#This Row],['#_Functional_adult_latrines]]="","",WWWW[[#This Row],[Total PoP ]]/WWWW[[#This Row],['#_Functional_adult_latrines]])</f>
        <v>31.906832298136646</v>
      </c>
      <c r="BY39" s="912">
        <f>WWWW[[#This Row],['#_of_latrines_in_TLS/CFS]]*50</f>
        <v>0</v>
      </c>
      <c r="BZ39" s="451">
        <f>IF(WWWW[[#This Row],['#_of_latrines_in_THF]]="",0,WWWW[[#This Row],['#_of_latrines_in_THF]]*50)</f>
        <v>0</v>
      </c>
      <c r="CA39" s="912">
        <f>ROUND(IF(WWWW[[#This Row],[Location Type 1]]="camp",WWWW[[#This Row],[Total PoP ]]/20),0)</f>
        <v>257</v>
      </c>
      <c r="CB39" s="912">
        <f>IF(WWWW[[#This Row],[Total required Latrines]]-WWWW[[#This Row],['#_Existing_latrines]]&lt;0,0,WWWW[[#This Row],[Total required Latrines]]-WWWW[[#This Row],['#_Existing_latrines]])</f>
        <v>60</v>
      </c>
      <c r="CC39" s="915">
        <f>1-WWWW[[#This Row],[% HRP2]]</f>
        <v>0.21530075919797542</v>
      </c>
      <c r="CD39" s="911">
        <f>IF(WWWW[[#This Row],['#_Existing_latrines]]="","NA",(WWWW[[#This Row],['#_Existing_latrines]]-WWWW[[#This Row],['#_Functional_adult_latrines]])/WWWW[[#This Row],['#_Existing_latrines]])</f>
        <v>0.18274111675126903</v>
      </c>
      <c r="CE39"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39"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39" s="912">
        <f>IF(WWWW[[#This Row],['#_of_affected_women_and_girls_receiving_a_sufficient_quantity_of_sanitary_pads]]&gt;WWWW[[#This Row],[Total PoP ]],WWWW[[#This Row],[Total PoP ]],WWWW[[#This Row],['#_of_affected_women_and_girls_receiving_a_sufficient_quantity_of_sanitary_pads]])</f>
        <v>1366</v>
      </c>
      <c r="CH39" s="912">
        <f>IF(WWWW[[#This Row],['# People with access to soap]]&gt;WWWW[[#This Row],['# People with access to Sanity Pads]],WWWW[[#This Row],['# People with access to soap]],WWWW[[#This Row],['# People with access to Sanity Pads]])</f>
        <v>5137</v>
      </c>
      <c r="CI39" s="912">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39" s="915">
        <f>IF(WWWW[[#This Row],[HRP3]]/WWWW[[#This Row],[Total PoP ]]&gt;100%,100%,WWWW[[#This Row],[HRP3]]/WWWW[[#This Row],[Total PoP ]])</f>
        <v>1</v>
      </c>
      <c r="CK39" s="911">
        <f>1-WWWW[[#This Row],[Hygiene Coverage%]]</f>
        <v>0</v>
      </c>
      <c r="CL39" s="907">
        <f>WWWW[[#This Row],['# people reached by regular dedicated hygiene promotion_5]]/WWWW[[#This Row],[Total PoP ]]</f>
        <v>1</v>
      </c>
      <c r="CM39" s="911">
        <f>IF(WWWW[[#This Row],['#_of_affected_households_receiving_a_sufficient_quantity_of_soap]]/WWWW[[#This Row],[Total HH]]&gt;1,1,WWWW[[#This Row],['#_of_affected_households_receiving_a_sufficient_quantity_of_soap]]/WWWW[[#This Row],[Total HH]])</f>
        <v>1</v>
      </c>
      <c r="CN39" s="455" t="str">
        <f>IF(WWWW[[#This Row],['#_students at TLS_CFS]]="","No","Yes")</f>
        <v>No</v>
      </c>
      <c r="CO39" s="452">
        <f>WWWW[[#This Row],[%_of_affected_people_surveyed_who_report_feeling_informed_about_the_different_WASH_services_available_to_them]]</f>
        <v>0.99</v>
      </c>
      <c r="CP3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v>
      </c>
      <c r="CQ39" s="500">
        <f>IF(WWWW[[#This Row],['#_PPL_accessed_water_in_TLS]]&gt;WWWW[[#This Row],['# students access to functioning school latrines_HRP5]],WWWW[[#This Row],['#_PPL_accessed_water_in_TLS]],WWWW[[#This Row],['# students access to functioning school latrines_HRP5]])</f>
        <v>0</v>
      </c>
      <c r="CR39" s="500">
        <f>IF(WWWW[[#This Row],['#_PPL_accessed_water_in_THF]]&gt;WWWW[[#This Row],['# people access to functioning latrines in THF_HRP6]],WWWW[[#This Row],['#_PPL_accessed_water_in_THF]],WWWW[[#This Row],['# people access to functioning latrines in THF_HRP6]])</f>
        <v>0</v>
      </c>
      <c r="CS39" s="903" t="str">
        <f>VLOOKUP(WWWW[[#This Row],[Site Name]],SiteDB6[[Site Name]:[CCCM Management]],6,FALSE)</f>
        <v>Yes</v>
      </c>
      <c r="CT39" s="903" t="str">
        <f>VLOOKUP(WWWW[[#This Row],[Site Name]],SiteDB6[[Site Name]:[CCCM Focal Agency]],7,FALSE)</f>
        <v>LWF</v>
      </c>
      <c r="CU39" s="903" t="str">
        <f>VLOOKUP(WWWW[[#This Row],[Site Name]],SiteDB6[[Site Name]:[Location Type 1]],9,FALSE)</f>
        <v>Camp</v>
      </c>
      <c r="CV39" s="903" t="str">
        <f>VLOOKUP(WWWW[[#This Row],[Site Name]],SiteDB6[[Site Name]:[Type of Accommodation]],10,FALSE)</f>
        <v>Planned Camp</v>
      </c>
      <c r="CW39" s="903" t="str">
        <f>VLOOKUP(WWWW[[#This Row],[Site Name]],SiteDB6[[Site Name]:[Ethnic or GCA/NGCA]],11,FALSE)</f>
        <v>Muslim</v>
      </c>
      <c r="CX39" s="903">
        <f>VLOOKUP(WWWW[[#This Row],[Site Name]],SiteDB6[[Site Name]:[Lat]],12,FALSE)</f>
        <v>20.073437999999999</v>
      </c>
      <c r="CY39" s="903">
        <f>VLOOKUP(WWWW[[#This Row],[Site Name]],SiteDB6[[Site Name]:[Long]],13,FALSE)</f>
        <v>93.154551999999995</v>
      </c>
      <c r="CZ39" s="903" t="str">
        <f>VLOOKUP(WWWW[[#This Row],[Site Name]],SiteDB6[[Site Name]:[Pcode]],3,FALSE)</f>
        <v>MMR012CMP017</v>
      </c>
      <c r="DA39" s="916" t="str">
        <f t="shared" si="1"/>
        <v>Covered</v>
      </c>
      <c r="DB39" s="477">
        <f>VLOOKUP(WWWW[[#This Row],[Site Name]],SiteDB6[[Site Name]:[PWD_Total]],22,FALSE)</f>
        <v>116</v>
      </c>
      <c r="DC39" s="477">
        <f>VLOOKUP(WWWW[[#This Row],[Site Name]],SiteDB6[[Site Name]:[PWD_Total]],23,FALSE)</f>
        <v>693</v>
      </c>
      <c r="DD39" s="477">
        <f>WWWW[[#This Row],['# of Male_People with disabilities]]+WWWW[[#This Row],['# of Female_People with disabilities]]</f>
        <v>809</v>
      </c>
      <c r="DE39" s="903"/>
      <c r="DF39" s="916"/>
      <c r="DG39" s="916"/>
      <c r="DH39" s="916"/>
      <c r="DI39" s="916">
        <f>VLOOKUP(WWWW[[#This Row],[Site Name]],SiteDB6[[Site Name]:[Pop
(CCCM as of Autust 2021)]],16,FALSE)</f>
        <v>982</v>
      </c>
      <c r="DJ39" s="916">
        <f>VLOOKUP(WWWW[[#This Row],[Site Name]],SiteDB6[[Site Name]:[Pop
(CCCM as of Autust 2021)]],17,FALSE)</f>
        <v>4828</v>
      </c>
    </row>
    <row r="40" spans="1:114">
      <c r="A40" s="896" t="s">
        <v>3145</v>
      </c>
      <c r="B40" s="901" t="s">
        <v>2269</v>
      </c>
      <c r="C40" s="902" t="s">
        <v>2269</v>
      </c>
      <c r="D40" s="902" t="s">
        <v>3187</v>
      </c>
      <c r="E40" s="856" t="s">
        <v>293</v>
      </c>
      <c r="F40" s="902" t="s">
        <v>294</v>
      </c>
      <c r="G40" s="857" t="s">
        <v>43</v>
      </c>
      <c r="H40" s="902" t="s">
        <v>440</v>
      </c>
      <c r="I40" s="904">
        <v>774</v>
      </c>
      <c r="J40" s="904">
        <v>3095</v>
      </c>
      <c r="K40" s="684">
        <f>WWWW[[#This Row],[Total PoP ]]/WWWW[[#This Row],[Total HH]]</f>
        <v>3.9987080103359172</v>
      </c>
      <c r="L40" s="905">
        <v>44652</v>
      </c>
      <c r="M40" s="906">
        <v>44834</v>
      </c>
      <c r="N40" s="904"/>
      <c r="O40" s="500">
        <v>72</v>
      </c>
      <c r="P40" s="904">
        <v>80</v>
      </c>
      <c r="Q40" s="500"/>
      <c r="R40" s="500"/>
      <c r="S40" s="904"/>
      <c r="T40" s="904"/>
      <c r="U40" s="904">
        <v>14</v>
      </c>
      <c r="V40" s="907">
        <v>0.71</v>
      </c>
      <c r="W40" s="904"/>
      <c r="X40" s="907"/>
      <c r="Y40" s="904"/>
      <c r="Z40" s="500"/>
      <c r="AA40" s="500"/>
      <c r="AB40" s="908"/>
      <c r="AC40" s="904">
        <v>164</v>
      </c>
      <c r="AD40" s="904">
        <v>187</v>
      </c>
      <c r="AE40" s="904">
        <v>74</v>
      </c>
      <c r="AF40" s="904">
        <v>83</v>
      </c>
      <c r="AG40" s="907">
        <v>1</v>
      </c>
      <c r="AH40" s="907">
        <v>1</v>
      </c>
      <c r="AI40" s="907">
        <v>0.1</v>
      </c>
      <c r="AJ40" s="904"/>
      <c r="AK40" s="904">
        <v>19</v>
      </c>
      <c r="AL40" s="904">
        <v>2</v>
      </c>
      <c r="AM40" s="500"/>
      <c r="AN40" s="904" t="s">
        <v>41</v>
      </c>
      <c r="AO40" s="909"/>
      <c r="AP40" s="904">
        <v>628</v>
      </c>
      <c r="AQ40" s="904">
        <v>829</v>
      </c>
      <c r="AR40" s="904"/>
      <c r="AS40" s="904"/>
      <c r="AT40" s="904">
        <v>774</v>
      </c>
      <c r="AU40" s="904">
        <v>1548</v>
      </c>
      <c r="AV40" s="450">
        <v>1</v>
      </c>
      <c r="AW40" s="907">
        <v>1</v>
      </c>
      <c r="AX40" s="451"/>
      <c r="AY40" s="910"/>
      <c r="AZ40" s="450">
        <v>1</v>
      </c>
      <c r="BA40" s="450">
        <v>1</v>
      </c>
      <c r="BB40" s="450">
        <v>1</v>
      </c>
      <c r="BC40" s="450">
        <v>1</v>
      </c>
      <c r="BD40" s="450"/>
      <c r="BE40" s="500"/>
      <c r="BF40" s="500"/>
      <c r="BG40" s="500"/>
      <c r="BH40" s="500"/>
      <c r="BI40" s="500"/>
      <c r="BJ40" s="500"/>
      <c r="BK40" s="500"/>
      <c r="BL40" s="911" t="str">
        <f>IF(WWWW[[#This Row],['#_Water samples_Tested_at_water_source]]="","no test","Tested")</f>
        <v>Tested</v>
      </c>
      <c r="BM40" s="911" t="str">
        <f>IF(WWWW[[#This Row],['#_Water samples_Tested_at_HH]]="","no test","Tested")</f>
        <v>no test</v>
      </c>
      <c r="BN40" s="912" t="str">
        <f>IF(AND(WWWW[[#This Row],[Water_testing_at source]]="no test",WWWW[[#This Row],[Water_testing_at HH]]="no test"),"No Test","Tested")</f>
        <v>Tested</v>
      </c>
      <c r="BO40"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0" s="913">
        <f>WWWW[[#This Row],[% HRP1]]*WWWW[[#This Row],[Total PoP ]]</f>
        <v>3095</v>
      </c>
      <c r="BQ40" s="914">
        <f>WWWW[[#This Row],[HRP1]]/500</f>
        <v>6.19</v>
      </c>
      <c r="BR40" s="915">
        <f>1-WWWW[[#This Row],[% HRP1]]</f>
        <v>0</v>
      </c>
      <c r="BS40" s="914">
        <f>WWWW[[#This Row],[%equitable and continuous access to sufficient quantity of safe drinking and domestic water''s GAP]]*WWWW[[#This Row],[Total PoP ]]</f>
        <v>0</v>
      </c>
      <c r="BT40" s="451">
        <f>ROUND(IF(WWWW[[#This Row],[Total PoP ]]&lt;500,1,WWWW[[#This Row],[Total PoP ]]/500),0)</f>
        <v>6</v>
      </c>
      <c r="BU40" s="912">
        <f>IF(WWWW[[#This Row],[Total required water points]]-WWWW[[#This Row],['#Water points coverage]]&lt;0,0,WWWW[[#This Row],[Total required water points]]-WWWW[[#This Row],['#Water points coverage]])</f>
        <v>0</v>
      </c>
      <c r="BV40" s="452">
        <f>WWWW[[#This Row],[HRP2]]/WWWW[[#This Row],[Total PoP ]]</f>
        <v>1</v>
      </c>
      <c r="BW40"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40" s="455">
        <f>IF(WWWW[[#This Row],['#_Functional_adult_latrines]]="","",WWWW[[#This Row],[Total PoP ]]/WWWW[[#This Row],['#_Functional_adult_latrines]])</f>
        <v>18.871951219512194</v>
      </c>
      <c r="BY40" s="912">
        <f>WWWW[[#This Row],['#_of_latrines_in_TLS/CFS]]*50</f>
        <v>100</v>
      </c>
      <c r="BZ40" s="451">
        <f>IF(WWWW[[#This Row],['#_of_latrines_in_THF]]="",0,WWWW[[#This Row],['#_of_latrines_in_THF]]*50)</f>
        <v>0</v>
      </c>
      <c r="CA40" s="912">
        <f>ROUND(IF(WWWW[[#This Row],[Location Type 1]]="camp",WWWW[[#This Row],[Total PoP ]]/20),0)</f>
        <v>155</v>
      </c>
      <c r="CB40" s="912">
        <f>IF(WWWW[[#This Row],[Total required Latrines]]-WWWW[[#This Row],['#_Existing_latrines]]&lt;0,0,WWWW[[#This Row],[Total required Latrines]]-WWWW[[#This Row],['#_Existing_latrines]])</f>
        <v>0</v>
      </c>
      <c r="CC40" s="915">
        <f>1-WWWW[[#This Row],[% HRP2]]</f>
        <v>0</v>
      </c>
      <c r="CD40" s="911">
        <f>IF(WWWW[[#This Row],['#_Existing_latrines]]="","NA",(WWWW[[#This Row],['#_Existing_latrines]]-WWWW[[#This Row],['#_Functional_adult_latrines]])/WWWW[[#This Row],['#_Existing_latrines]])</f>
        <v>0.12299465240641712</v>
      </c>
      <c r="CE40"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1457</v>
      </c>
      <c r="CF40"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G40" s="912">
        <f>IF(WWWW[[#This Row],['#_of_affected_women_and_girls_receiving_a_sufficient_quantity_of_sanitary_pads]]&gt;WWWW[[#This Row],[Total PoP ]],WWWW[[#This Row],[Total PoP ]],WWWW[[#This Row],['#_of_affected_women_and_girls_receiving_a_sufficient_quantity_of_sanitary_pads]])</f>
        <v>1548</v>
      </c>
      <c r="CH40" s="912">
        <f>IF(WWWW[[#This Row],['# People with access to soap]]&gt;WWWW[[#This Row],['# People with access to Sanity Pads]],WWWW[[#This Row],['# People with access to soap]],WWWW[[#This Row],['# People with access to Sanity Pads]])</f>
        <v>3095</v>
      </c>
      <c r="CI40" s="912">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J40" s="915">
        <f>IF(WWWW[[#This Row],[HRP3]]/WWWW[[#This Row],[Total PoP ]]&gt;100%,100%,WWWW[[#This Row],[HRP3]]/WWWW[[#This Row],[Total PoP ]])</f>
        <v>1</v>
      </c>
      <c r="CK40" s="911">
        <f>1-WWWW[[#This Row],[Hygiene Coverage%]]</f>
        <v>0</v>
      </c>
      <c r="CL40" s="907">
        <f>WWWW[[#This Row],['# people reached by regular dedicated hygiene promotion_5]]/WWWW[[#This Row],[Total PoP ]]</f>
        <v>0.47075928917609045</v>
      </c>
      <c r="CM40" s="911">
        <f>IF(WWWW[[#This Row],['#_of_affected_households_receiving_a_sufficient_quantity_of_soap]]/WWWW[[#This Row],[Total HH]]&gt;1,1,WWWW[[#This Row],['#_of_affected_households_receiving_a_sufficient_quantity_of_soap]]/WWWW[[#This Row],[Total HH]])</f>
        <v>1</v>
      </c>
      <c r="CN40" s="455" t="str">
        <f>IF(WWWW[[#This Row],['#_students at TLS_CFS]]="","No","Yes")</f>
        <v>No</v>
      </c>
      <c r="CO40" s="452">
        <f>WWWW[[#This Row],[%_of_affected_people_surveyed_who_report_feeling_informed_about_the_different_WASH_services_available_to_them]]</f>
        <v>1</v>
      </c>
      <c r="CP4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0" s="500">
        <f>IF(WWWW[[#This Row],['#_PPL_accessed_water_in_TLS]]&gt;WWWW[[#This Row],['# students access to functioning school latrines_HRP5]],WWWW[[#This Row],['#_PPL_accessed_water_in_TLS]],WWWW[[#This Row],['# students access to functioning school latrines_HRP5]])</f>
        <v>100</v>
      </c>
      <c r="CR40" s="500">
        <f>IF(WWWW[[#This Row],['#_PPL_accessed_water_in_THF]]&gt;WWWW[[#This Row],['# people access to functioning latrines in THF_HRP6]],WWWW[[#This Row],['#_PPL_accessed_water_in_THF]],WWWW[[#This Row],['# people access to functioning latrines in THF_HRP6]])</f>
        <v>0</v>
      </c>
      <c r="CS40" s="903" t="str">
        <f>VLOOKUP(WWWW[[#This Row],[Site Name]],SiteDB6[[Site Name]:[CCCM Management]],6,FALSE)</f>
        <v>Yes</v>
      </c>
      <c r="CT40" s="903">
        <f>VLOOKUP(WWWW[[#This Row],[Site Name]],SiteDB6[[Site Name]:[CCCM Focal Agency]],7,FALSE)</f>
        <v>0</v>
      </c>
      <c r="CU40" s="903" t="str">
        <f>VLOOKUP(WWWW[[#This Row],[Site Name]],SiteDB6[[Site Name]:[Location Type 1]],9,FALSE)</f>
        <v>Camp</v>
      </c>
      <c r="CV40" s="903" t="str">
        <f>VLOOKUP(WWWW[[#This Row],[Site Name]],SiteDB6[[Site Name]:[Type of Accommodation]],10,FALSE)</f>
        <v>Planned Camp</v>
      </c>
      <c r="CW40" s="903" t="str">
        <f>VLOOKUP(WWWW[[#This Row],[Site Name]],SiteDB6[[Site Name]:[Ethnic or GCA/NGCA]],11,FALSE)</f>
        <v>Muslim</v>
      </c>
      <c r="CX40" s="903">
        <f>VLOOKUP(WWWW[[#This Row],[Site Name]],SiteDB6[[Site Name]:[Lat]],12,FALSE)</f>
        <v>20.206778</v>
      </c>
      <c r="CY40" s="903">
        <f>VLOOKUP(WWWW[[#This Row],[Site Name]],SiteDB6[[Site Name]:[Long]],13,FALSE)</f>
        <v>92.774193999999994</v>
      </c>
      <c r="CZ40" s="903" t="str">
        <f>VLOOKUP(WWWW[[#This Row],[Site Name]],SiteDB6[[Site Name]:[Pcode]],3,FALSE)</f>
        <v>MMR012CMP098</v>
      </c>
      <c r="DA40" s="916" t="str">
        <f t="shared" si="1"/>
        <v>Covered</v>
      </c>
      <c r="DB40" s="477">
        <f>VLOOKUP(WWWW[[#This Row],[Site Name]],SiteDB6[[Site Name]:[PWD_Total]],22,FALSE)</f>
        <v>42</v>
      </c>
      <c r="DC40" s="477">
        <f>VLOOKUP(WWWW[[#This Row],[Site Name]],SiteDB6[[Site Name]:[PWD_Total]],23,FALSE)</f>
        <v>432</v>
      </c>
      <c r="DD40" s="477">
        <f>WWWW[[#This Row],['# of Male_People with disabilities]]+WWWW[[#This Row],['# of Female_People with disabilities]]</f>
        <v>474</v>
      </c>
      <c r="DE40" s="903"/>
      <c r="DF40" s="916"/>
      <c r="DG40" s="916"/>
      <c r="DH40" s="916"/>
      <c r="DI40" s="916">
        <f>VLOOKUP(WWWW[[#This Row],[Site Name]],SiteDB6[[Site Name]:[Pop
(CCCM as of Autust 2021)]],16,FALSE)</f>
        <v>777</v>
      </c>
      <c r="DJ40" s="916">
        <f>VLOOKUP(WWWW[[#This Row],[Site Name]],SiteDB6[[Site Name]:[Pop
(CCCM as of Autust 2021)]],17,FALSE)</f>
        <v>4735</v>
      </c>
    </row>
    <row r="41" spans="1:114">
      <c r="A41" s="896" t="s">
        <v>3145</v>
      </c>
      <c r="B41" s="901" t="s">
        <v>2269</v>
      </c>
      <c r="C41" s="901" t="s">
        <v>2269</v>
      </c>
      <c r="D41" s="902" t="s">
        <v>3187</v>
      </c>
      <c r="E41" s="856" t="s">
        <v>293</v>
      </c>
      <c r="F41" s="902" t="s">
        <v>294</v>
      </c>
      <c r="G41" s="857" t="s">
        <v>43</v>
      </c>
      <c r="H41" s="897" t="s">
        <v>431</v>
      </c>
      <c r="I41" s="904">
        <v>2728</v>
      </c>
      <c r="J41" s="904">
        <v>13302</v>
      </c>
      <c r="K41" s="684">
        <f>WWWW[[#This Row],[Total PoP ]]/WWWW[[#This Row],[Total HH]]</f>
        <v>4.8760997067448679</v>
      </c>
      <c r="L41" s="905">
        <v>44652</v>
      </c>
      <c r="M41" s="906">
        <v>44834</v>
      </c>
      <c r="N41" s="904"/>
      <c r="O41" s="500">
        <v>227</v>
      </c>
      <c r="P41" s="904">
        <v>229</v>
      </c>
      <c r="Q41" s="500"/>
      <c r="R41" s="500"/>
      <c r="S41" s="904"/>
      <c r="T41" s="904"/>
      <c r="U41" s="904">
        <v>88</v>
      </c>
      <c r="V41" s="907">
        <v>0.8</v>
      </c>
      <c r="W41" s="904">
        <v>81</v>
      </c>
      <c r="X41" s="907">
        <v>0.33</v>
      </c>
      <c r="Y41" s="904"/>
      <c r="Z41" s="500"/>
      <c r="AA41" s="500"/>
      <c r="AB41" s="908"/>
      <c r="AC41" s="904">
        <v>648</v>
      </c>
      <c r="AD41" s="904">
        <v>689</v>
      </c>
      <c r="AE41" s="904">
        <v>163</v>
      </c>
      <c r="AF41" s="904">
        <v>366</v>
      </c>
      <c r="AG41" s="907">
        <v>1</v>
      </c>
      <c r="AH41" s="907">
        <v>0.97</v>
      </c>
      <c r="AI41" s="907">
        <v>0.1</v>
      </c>
      <c r="AJ41" s="904"/>
      <c r="AK41" s="904"/>
      <c r="AL41" s="904">
        <v>34</v>
      </c>
      <c r="AM41" s="500"/>
      <c r="AN41" s="904" t="s">
        <v>41</v>
      </c>
      <c r="AO41" s="909"/>
      <c r="AP41" s="904">
        <v>2227</v>
      </c>
      <c r="AQ41" s="904">
        <v>3064</v>
      </c>
      <c r="AR41" s="904"/>
      <c r="AS41" s="904"/>
      <c r="AT41" s="904">
        <v>2728</v>
      </c>
      <c r="AU41" s="904">
        <v>5456</v>
      </c>
      <c r="AV41" s="450">
        <v>1</v>
      </c>
      <c r="AW41" s="907">
        <v>1</v>
      </c>
      <c r="AX41" s="451">
        <v>2</v>
      </c>
      <c r="AY41" s="910"/>
      <c r="AZ41" s="450">
        <v>1</v>
      </c>
      <c r="BA41" s="450">
        <v>1</v>
      </c>
      <c r="BB41" s="450">
        <v>1</v>
      </c>
      <c r="BC41" s="450">
        <v>1</v>
      </c>
      <c r="BD41" s="450"/>
      <c r="BE41" s="500"/>
      <c r="BF41" s="500"/>
      <c r="BG41" s="500"/>
      <c r="BH41" s="500"/>
      <c r="BI41" s="500"/>
      <c r="BJ41" s="500"/>
      <c r="BK41" s="500"/>
      <c r="BL41" s="911" t="str">
        <f>IF(WWWW[[#This Row],['#_Water samples_Tested_at_water_source]]="","no test","Tested")</f>
        <v>Tested</v>
      </c>
      <c r="BM41" s="911" t="str">
        <f>IF(WWWW[[#This Row],['#_Water samples_Tested_at_HH]]="","no test","Tested")</f>
        <v>Tested</v>
      </c>
      <c r="BN41" s="912" t="str">
        <f>IF(AND(WWWW[[#This Row],[Water_testing_at source]]="no test",WWWW[[#This Row],[Water_testing_at HH]]="no test"),"No Test","Tested")</f>
        <v>Tested</v>
      </c>
      <c r="BO41"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1" s="913">
        <f>WWWW[[#This Row],[% HRP1]]*WWWW[[#This Row],[Total PoP ]]</f>
        <v>13302</v>
      </c>
      <c r="BQ41" s="914">
        <f>WWWW[[#This Row],[HRP1]]/500</f>
        <v>26.603999999999999</v>
      </c>
      <c r="BR41" s="915">
        <f>1-WWWW[[#This Row],[% HRP1]]</f>
        <v>0</v>
      </c>
      <c r="BS41" s="914">
        <f>WWWW[[#This Row],[%equitable and continuous access to sufficient quantity of safe drinking and domestic water''s GAP]]*WWWW[[#This Row],[Total PoP ]]</f>
        <v>0</v>
      </c>
      <c r="BT41" s="451">
        <f>ROUND(IF(WWWW[[#This Row],[Total PoP ]]&lt;500,1,WWWW[[#This Row],[Total PoP ]]/500),0)</f>
        <v>27</v>
      </c>
      <c r="BU41" s="912">
        <f>IF(WWWW[[#This Row],[Total required water points]]-WWWW[[#This Row],['#Water points coverage]]&lt;0,0,WWWW[[#This Row],[Total required water points]]-WWWW[[#This Row],['#Water points coverage]])</f>
        <v>0.3960000000000008</v>
      </c>
      <c r="BV41" s="452">
        <f>WWWW[[#This Row],[HRP2]]/WWWW[[#This Row],[Total PoP ]]</f>
        <v>0.97428958051420844</v>
      </c>
      <c r="BW41"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12960</v>
      </c>
      <c r="BX41" s="455">
        <f>IF(WWWW[[#This Row],['#_Functional_adult_latrines]]="","",WWWW[[#This Row],[Total PoP ]]/WWWW[[#This Row],['#_Functional_adult_latrines]])</f>
        <v>20.527777777777779</v>
      </c>
      <c r="BY41" s="912">
        <f>WWWW[[#This Row],['#_of_latrines_in_TLS/CFS]]*50</f>
        <v>1700</v>
      </c>
      <c r="BZ41" s="451">
        <f>IF(WWWW[[#This Row],['#_of_latrines_in_THF]]="",0,WWWW[[#This Row],['#_of_latrines_in_THF]]*50)</f>
        <v>0</v>
      </c>
      <c r="CA41" s="912">
        <f>ROUND(IF(WWWW[[#This Row],[Location Type 1]]="camp",WWWW[[#This Row],[Total PoP ]]/20),0)</f>
        <v>665</v>
      </c>
      <c r="CB41" s="912">
        <f>IF(WWWW[[#This Row],[Total required Latrines]]-WWWW[[#This Row],['#_Existing_latrines]]&lt;0,0,WWWW[[#This Row],[Total required Latrines]]-WWWW[[#This Row],['#_Existing_latrines]])</f>
        <v>0</v>
      </c>
      <c r="CC41" s="915">
        <f>1-WWWW[[#This Row],[% HRP2]]</f>
        <v>2.5710419485791558E-2</v>
      </c>
      <c r="CD41" s="911">
        <f>IF(WWWW[[#This Row],['#_Existing_latrines]]="","NA",(WWWW[[#This Row],['#_Existing_latrines]]-WWWW[[#This Row],['#_Functional_adult_latrines]])/WWWW[[#This Row],['#_Existing_latrines]])</f>
        <v>5.9506531204644414E-2</v>
      </c>
      <c r="CE41"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5291</v>
      </c>
      <c r="CF41"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G41" s="912">
        <f>IF(WWWW[[#This Row],['#_of_affected_women_and_girls_receiving_a_sufficient_quantity_of_sanitary_pads]]&gt;WWWW[[#This Row],[Total PoP ]],WWWW[[#This Row],[Total PoP ]],WWWW[[#This Row],['#_of_affected_women_and_girls_receiving_a_sufficient_quantity_of_sanitary_pads]])</f>
        <v>5456</v>
      </c>
      <c r="CH41" s="912">
        <f>IF(WWWW[[#This Row],['# People with access to soap]]&gt;WWWW[[#This Row],['# People with access to Sanity Pads]],WWWW[[#This Row],['# People with access to soap]],WWWW[[#This Row],['# People with access to Sanity Pads]])</f>
        <v>13302</v>
      </c>
      <c r="CI41" s="912">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J41" s="915">
        <f>IF(WWWW[[#This Row],[HRP3]]/WWWW[[#This Row],[Total PoP ]]&gt;100%,100%,WWWW[[#This Row],[HRP3]]/WWWW[[#This Row],[Total PoP ]])</f>
        <v>1</v>
      </c>
      <c r="CK41" s="911">
        <f>1-WWWW[[#This Row],[Hygiene Coverage%]]</f>
        <v>0</v>
      </c>
      <c r="CL41" s="907">
        <f>WWWW[[#This Row],['# people reached by regular dedicated hygiene promotion_5]]/WWWW[[#This Row],[Total PoP ]]</f>
        <v>0.39775973537813863</v>
      </c>
      <c r="CM41" s="911">
        <f>IF(WWWW[[#This Row],['#_of_affected_households_receiving_a_sufficient_quantity_of_soap]]/WWWW[[#This Row],[Total HH]]&gt;1,1,WWWW[[#This Row],['#_of_affected_households_receiving_a_sufficient_quantity_of_soap]]/WWWW[[#This Row],[Total HH]])</f>
        <v>1</v>
      </c>
      <c r="CN41" s="455" t="str">
        <f>IF(WWWW[[#This Row],['#_students at TLS_CFS]]="","No","Yes")</f>
        <v>No</v>
      </c>
      <c r="CO41" s="452">
        <f>WWWW[[#This Row],[%_of_affected_people_surveyed_who_report_feeling_informed_about_the_different_WASH_services_available_to_them]]</f>
        <v>1</v>
      </c>
      <c r="CP4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1" s="500">
        <f>IF(WWWW[[#This Row],['#_PPL_accessed_water_in_TLS]]&gt;WWWW[[#This Row],['# students access to functioning school latrines_HRP5]],WWWW[[#This Row],['#_PPL_accessed_water_in_TLS]],WWWW[[#This Row],['# students access to functioning school latrines_HRP5]])</f>
        <v>1700</v>
      </c>
      <c r="CR41" s="500">
        <f>IF(WWWW[[#This Row],['#_PPL_accessed_water_in_THF]]&gt;WWWW[[#This Row],['# people access to functioning latrines in THF_HRP6]],WWWW[[#This Row],['#_PPL_accessed_water_in_THF]],WWWW[[#This Row],['# people access to functioning latrines in THF_HRP6]])</f>
        <v>0</v>
      </c>
      <c r="CS41" s="903" t="str">
        <f>VLOOKUP(WWWW[[#This Row],[Site Name]],SiteDB6[[Site Name]:[CCCM Management]],6,FALSE)</f>
        <v>Yes</v>
      </c>
      <c r="CT41" s="903">
        <f>VLOOKUP(WWWW[[#This Row],[Site Name]],SiteDB6[[Site Name]:[CCCM Focal Agency]],7,FALSE)</f>
        <v>0</v>
      </c>
      <c r="CU41" s="903" t="str">
        <f>VLOOKUP(WWWW[[#This Row],[Site Name]],SiteDB6[[Site Name]:[Location Type 1]],9,FALSE)</f>
        <v>Camp</v>
      </c>
      <c r="CV41" s="903" t="str">
        <f>VLOOKUP(WWWW[[#This Row],[Site Name]],SiteDB6[[Site Name]:[Type of Accommodation]],10,FALSE)</f>
        <v>Planned Camp</v>
      </c>
      <c r="CW41" s="903" t="str">
        <f>VLOOKUP(WWWW[[#This Row],[Site Name]],SiteDB6[[Site Name]:[Ethnic or GCA/NGCA]],11,FALSE)</f>
        <v>Muslim</v>
      </c>
      <c r="CX41" s="903">
        <f>VLOOKUP(WWWW[[#This Row],[Site Name]],SiteDB6[[Site Name]:[Lat]],12,FALSE)</f>
        <v>20.18994</v>
      </c>
      <c r="CY41" s="903">
        <f>VLOOKUP(WWWW[[#This Row],[Site Name]],SiteDB6[[Site Name]:[Long]],13,FALSE)</f>
        <v>92.798880999999994</v>
      </c>
      <c r="CZ41" s="903" t="str">
        <f>VLOOKUP(WWWW[[#This Row],[Site Name]],SiteDB6[[Site Name]:[Pcode]],3,FALSE)</f>
        <v>MMR012CMP115</v>
      </c>
      <c r="DA41" s="916" t="str">
        <f t="shared" si="1"/>
        <v>Covered</v>
      </c>
      <c r="DB41" s="477">
        <f>VLOOKUP(WWWW[[#This Row],[Site Name]],SiteDB6[[Site Name]:[PWD_Total]],22,FALSE)</f>
        <v>168</v>
      </c>
      <c r="DC41" s="477">
        <f>VLOOKUP(WWWW[[#This Row],[Site Name]],SiteDB6[[Site Name]:[PWD_Total]],23,FALSE)</f>
        <v>1744</v>
      </c>
      <c r="DD41" s="477">
        <f>WWWW[[#This Row],['# of Male_People with disabilities]]+WWWW[[#This Row],['# of Female_People with disabilities]]</f>
        <v>1912</v>
      </c>
      <c r="DE41" s="903"/>
      <c r="DF41" s="916"/>
      <c r="DG41" s="916"/>
      <c r="DH41" s="916"/>
      <c r="DI41" s="916">
        <f>VLOOKUP(WWWW[[#This Row],[Site Name]],SiteDB6[[Site Name]:[Pop
(CCCM as of Autust 2021)]],16,FALSE)</f>
        <v>2640</v>
      </c>
      <c r="DJ41" s="916">
        <f>VLOOKUP(WWWW[[#This Row],[Site Name]],SiteDB6[[Site Name]:[Pop
(CCCM as of Autust 2021)]],17,FALSE)</f>
        <v>15778</v>
      </c>
    </row>
    <row r="42" spans="1:114">
      <c r="A42" s="896" t="s">
        <v>3145</v>
      </c>
      <c r="B42" s="901" t="s">
        <v>286</v>
      </c>
      <c r="C42" s="901" t="s">
        <v>286</v>
      </c>
      <c r="D42" s="902" t="s">
        <v>233</v>
      </c>
      <c r="E42" s="856" t="s">
        <v>293</v>
      </c>
      <c r="F42" s="902" t="s">
        <v>294</v>
      </c>
      <c r="G42" s="857" t="s">
        <v>43</v>
      </c>
      <c r="H42" s="897" t="s">
        <v>429</v>
      </c>
      <c r="I42" s="904">
        <v>2275</v>
      </c>
      <c r="J42" s="904">
        <v>12495</v>
      </c>
      <c r="K42" s="684">
        <f>WWWW[[#This Row],[Total PoP ]]/WWWW[[#This Row],[Total HH]]</f>
        <v>5.4923076923076923</v>
      </c>
      <c r="L42" s="905">
        <v>44713</v>
      </c>
      <c r="M42" s="906">
        <v>45077</v>
      </c>
      <c r="N42" s="904"/>
      <c r="O42" s="500">
        <v>196</v>
      </c>
      <c r="P42" s="904">
        <v>213</v>
      </c>
      <c r="Q42" s="500"/>
      <c r="R42" s="500"/>
      <c r="S42" s="904"/>
      <c r="T42" s="904"/>
      <c r="U42" s="904"/>
      <c r="V42" s="907"/>
      <c r="W42" s="904">
        <v>120</v>
      </c>
      <c r="X42" s="907">
        <v>0.71</v>
      </c>
      <c r="Y42" s="904"/>
      <c r="Z42" s="500"/>
      <c r="AA42" s="500"/>
      <c r="AB42" s="908"/>
      <c r="AC42" s="904">
        <v>827</v>
      </c>
      <c r="AD42" s="904">
        <v>830</v>
      </c>
      <c r="AE42" s="904">
        <v>177</v>
      </c>
      <c r="AF42" s="904">
        <v>200</v>
      </c>
      <c r="AG42" s="907"/>
      <c r="AH42" s="907"/>
      <c r="AI42" s="907"/>
      <c r="AJ42" s="904">
        <v>2</v>
      </c>
      <c r="AK42" s="904">
        <v>45</v>
      </c>
      <c r="AL42" s="904"/>
      <c r="AM42" s="500"/>
      <c r="AN42" s="904" t="s">
        <v>41</v>
      </c>
      <c r="AO42" s="909"/>
      <c r="AP42" s="904">
        <v>1940</v>
      </c>
      <c r="AQ42" s="904">
        <v>3000</v>
      </c>
      <c r="AR42" s="904">
        <v>1830</v>
      </c>
      <c r="AS42" s="904">
        <v>1900</v>
      </c>
      <c r="AT42" s="904">
        <v>2275</v>
      </c>
      <c r="AU42" s="904">
        <v>3118</v>
      </c>
      <c r="AV42" s="450"/>
      <c r="AW42" s="907"/>
      <c r="AX42" s="451"/>
      <c r="AY42" s="910"/>
      <c r="AZ42" s="450"/>
      <c r="BA42" s="450"/>
      <c r="BB42" s="450"/>
      <c r="BC42" s="450"/>
      <c r="BD42" s="450"/>
      <c r="BE42" s="500"/>
      <c r="BF42" s="500"/>
      <c r="BG42" s="500"/>
      <c r="BH42" s="500"/>
      <c r="BI42" s="500"/>
      <c r="BJ42" s="500"/>
      <c r="BK42" s="500"/>
      <c r="BL42" s="911" t="str">
        <f>IF(WWWW[[#This Row],['#_Water samples_Tested_at_water_source]]="","no test","Tested")</f>
        <v>no test</v>
      </c>
      <c r="BM42" s="911" t="str">
        <f>IF(WWWW[[#This Row],['#_Water samples_Tested_at_HH]]="","no test","Tested")</f>
        <v>Tested</v>
      </c>
      <c r="BN42" s="912" t="str">
        <f>IF(AND(WWWW[[#This Row],[Water_testing_at source]]="no test",WWWW[[#This Row],[Water_testing_at HH]]="no test"),"No Test","Tested")</f>
        <v>Tested</v>
      </c>
      <c r="BO42"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2" s="913">
        <f>WWWW[[#This Row],[% HRP1]]*WWWW[[#This Row],[Total PoP ]]</f>
        <v>12495</v>
      </c>
      <c r="BQ42" s="914">
        <f>WWWW[[#This Row],[HRP1]]/500</f>
        <v>24.99</v>
      </c>
      <c r="BR42" s="915">
        <f>1-WWWW[[#This Row],[% HRP1]]</f>
        <v>0</v>
      </c>
      <c r="BS42" s="914">
        <f>WWWW[[#This Row],[%equitable and continuous access to sufficient quantity of safe drinking and domestic water''s GAP]]*WWWW[[#This Row],[Total PoP ]]</f>
        <v>0</v>
      </c>
      <c r="BT42" s="451">
        <f>ROUND(IF(WWWW[[#This Row],[Total PoP ]]&lt;500,1,WWWW[[#This Row],[Total PoP ]]/500),0)</f>
        <v>25</v>
      </c>
      <c r="BU42" s="912">
        <f>IF(WWWW[[#This Row],[Total required water points]]-WWWW[[#This Row],['#Water points coverage]]&lt;0,0,WWWW[[#This Row],[Total required water points]]-WWWW[[#This Row],['#Water points coverage]])</f>
        <v>1.0000000000001563E-2</v>
      </c>
      <c r="BV42" s="452">
        <f>WWWW[[#This Row],[HRP2]]/WWWW[[#This Row],[Total PoP ]]</f>
        <v>1</v>
      </c>
      <c r="BW42"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42" s="455">
        <f>IF(WWWW[[#This Row],['#_Functional_adult_latrines]]="","",WWWW[[#This Row],[Total PoP ]]/WWWW[[#This Row],['#_Functional_adult_latrines]])</f>
        <v>15.108827085852479</v>
      </c>
      <c r="BY42" s="912">
        <f>WWWW[[#This Row],['#_of_latrines_in_TLS/CFS]]*50</f>
        <v>0</v>
      </c>
      <c r="BZ42" s="451">
        <f>IF(WWWW[[#This Row],['#_of_latrines_in_THF]]="",0,WWWW[[#This Row],['#_of_latrines_in_THF]]*50)</f>
        <v>0</v>
      </c>
      <c r="CA42" s="912">
        <f>ROUND(IF(WWWW[[#This Row],[Location Type 1]]="camp",WWWW[[#This Row],[Total PoP ]]/20),0)</f>
        <v>625</v>
      </c>
      <c r="CB42" s="912">
        <f>IF(WWWW[[#This Row],[Total required Latrines]]-WWWW[[#This Row],['#_Existing_latrines]]&lt;0,0,WWWW[[#This Row],[Total required Latrines]]-WWWW[[#This Row],['#_Existing_latrines]])</f>
        <v>0</v>
      </c>
      <c r="CC42" s="915">
        <f>1-WWWW[[#This Row],[% HRP2]]</f>
        <v>0</v>
      </c>
      <c r="CD42" s="911">
        <f>IF(WWWW[[#This Row],['#_Existing_latrines]]="","NA",(WWWW[[#This Row],['#_Existing_latrines]]-WWWW[[#This Row],['#_Functional_adult_latrines]])/WWWW[[#This Row],['#_Existing_latrines]])</f>
        <v>3.6144578313253013E-3</v>
      </c>
      <c r="CE42"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8670</v>
      </c>
      <c r="CF42"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12495</v>
      </c>
      <c r="CG42" s="912">
        <f>IF(WWWW[[#This Row],['#_of_affected_women_and_girls_receiving_a_sufficient_quantity_of_sanitary_pads]]&gt;WWWW[[#This Row],[Total PoP ]],WWWW[[#This Row],[Total PoP ]],WWWW[[#This Row],['#_of_affected_women_and_girls_receiving_a_sufficient_quantity_of_sanitary_pads]])</f>
        <v>3118</v>
      </c>
      <c r="CH42" s="912">
        <f>IF(WWWW[[#This Row],['# People with access to soap]]&gt;WWWW[[#This Row],['# People with access to Sanity Pads]],WWWW[[#This Row],['# People with access to soap]],WWWW[[#This Row],['# People with access to Sanity Pads]])</f>
        <v>12495</v>
      </c>
      <c r="CI42" s="912">
        <f>IF(WWWW[[#This Row],['# people reached by regular dedicated hygiene promotion_5]]&gt;WWWW[[#This Row],['# People received regular supply of hygiene items_6]],WWWW[[#This Row],['# people reached by regular dedicated hygiene promotion_5]],WWWW[[#This Row],['# People received regular supply of hygiene items_6]])</f>
        <v>12495</v>
      </c>
      <c r="CJ42" s="915">
        <f>IF(WWWW[[#This Row],[HRP3]]/WWWW[[#This Row],[Total PoP ]]&gt;100%,100%,WWWW[[#This Row],[HRP3]]/WWWW[[#This Row],[Total PoP ]])</f>
        <v>1</v>
      </c>
      <c r="CK42" s="911">
        <f>1-WWWW[[#This Row],[Hygiene Coverage%]]</f>
        <v>0</v>
      </c>
      <c r="CL42" s="907">
        <f>WWWW[[#This Row],['# people reached by regular dedicated hygiene promotion_5]]/WWWW[[#This Row],[Total PoP ]]</f>
        <v>0.69387755102040816</v>
      </c>
      <c r="CM42" s="911">
        <f>IF(WWWW[[#This Row],['#_of_affected_households_receiving_a_sufficient_quantity_of_soap]]/WWWW[[#This Row],[Total HH]]&gt;1,1,WWWW[[#This Row],['#_of_affected_households_receiving_a_sufficient_quantity_of_soap]]/WWWW[[#This Row],[Total HH]])</f>
        <v>1</v>
      </c>
      <c r="CN42" s="455" t="str">
        <f>IF(WWWW[[#This Row],['#_students at TLS_CFS]]="","No","Yes")</f>
        <v>No</v>
      </c>
      <c r="CO42" s="452">
        <f>WWWW[[#This Row],[%_of_affected_people_surveyed_who_report_feeling_informed_about_the_different_WASH_services_available_to_them]]</f>
        <v>0</v>
      </c>
      <c r="CP4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2" s="500">
        <f>IF(WWWW[[#This Row],['#_PPL_accessed_water_in_TLS]]&gt;WWWW[[#This Row],['# students access to functioning school latrines_HRP5]],WWWW[[#This Row],['#_PPL_accessed_water_in_TLS]],WWWW[[#This Row],['# students access to functioning school latrines_HRP5]])</f>
        <v>0</v>
      </c>
      <c r="CR42" s="500">
        <f>IF(WWWW[[#This Row],['#_PPL_accessed_water_in_THF]]&gt;WWWW[[#This Row],['# people access to functioning latrines in THF_HRP6]],WWWW[[#This Row],['#_PPL_accessed_water_in_THF]],WWWW[[#This Row],['# people access to functioning latrines in THF_HRP6]])</f>
        <v>0</v>
      </c>
      <c r="CS42" s="903" t="str">
        <f>VLOOKUP(WWWW[[#This Row],[Site Name]],SiteDB6[[Site Name]:[CCCM Management]],6,FALSE)</f>
        <v>Yes</v>
      </c>
      <c r="CT42" s="903">
        <f>VLOOKUP(WWWW[[#This Row],[Site Name]],SiteDB6[[Site Name]:[CCCM Focal Agency]],7,FALSE)</f>
        <v>0</v>
      </c>
      <c r="CU42" s="903" t="str">
        <f>VLOOKUP(WWWW[[#This Row],[Site Name]],SiteDB6[[Site Name]:[Location Type 1]],9,FALSE)</f>
        <v>Camp</v>
      </c>
      <c r="CV42" s="903" t="str">
        <f>VLOOKUP(WWWW[[#This Row],[Site Name]],SiteDB6[[Site Name]:[Type of Accommodation]],10,FALSE)</f>
        <v>Planned Camp</v>
      </c>
      <c r="CW42" s="903" t="str">
        <f>VLOOKUP(WWWW[[#This Row],[Site Name]],SiteDB6[[Site Name]:[Ethnic or GCA/NGCA]],11,FALSE)</f>
        <v>Muslim</v>
      </c>
      <c r="CX42" s="903">
        <f>VLOOKUP(WWWW[[#This Row],[Site Name]],SiteDB6[[Site Name]:[Lat]],12,FALSE)</f>
        <v>20.185092000000001</v>
      </c>
      <c r="CY42" s="903">
        <f>VLOOKUP(WWWW[[#This Row],[Site Name]],SiteDB6[[Site Name]:[Long]],13,FALSE)</f>
        <v>92.802295999999998</v>
      </c>
      <c r="CZ42" s="903" t="str">
        <f>VLOOKUP(WWWW[[#This Row],[Site Name]],SiteDB6[[Site Name]:[Pcode]],3,FALSE)</f>
        <v>MMR012CMP116</v>
      </c>
      <c r="DA42" s="916" t="str">
        <f t="shared" si="1"/>
        <v>Covered</v>
      </c>
      <c r="DB42" s="477">
        <f>VLOOKUP(WWWW[[#This Row],[Site Name]],SiteDB6[[Site Name]:[PWD_Total]],22,FALSE)</f>
        <v>223</v>
      </c>
      <c r="DC42" s="477">
        <f>VLOOKUP(WWWW[[#This Row],[Site Name]],SiteDB6[[Site Name]:[PWD_Total]],23,FALSE)</f>
        <v>1507</v>
      </c>
      <c r="DD42" s="477">
        <f>WWWW[[#This Row],['# of Male_People with disabilities]]+WWWW[[#This Row],['# of Female_People with disabilities]]</f>
        <v>1730</v>
      </c>
      <c r="DE42" s="903"/>
      <c r="DF42" s="916"/>
      <c r="DG42" s="916"/>
      <c r="DH42" s="916"/>
      <c r="DI42" s="916">
        <f>VLOOKUP(WWWW[[#This Row],[Site Name]],SiteDB6[[Site Name]:[Pop
(CCCM as of Autust 2021)]],16,FALSE)</f>
        <v>2275</v>
      </c>
      <c r="DJ42" s="916">
        <f>VLOOKUP(WWWW[[#This Row],[Site Name]],SiteDB6[[Site Name]:[Pop
(CCCM as of Autust 2021)]],17,FALSE)</f>
        <v>12341</v>
      </c>
    </row>
    <row r="43" spans="1:114">
      <c r="A43" s="896" t="s">
        <v>3145</v>
      </c>
      <c r="B43" s="901" t="s">
        <v>286</v>
      </c>
      <c r="C43" s="902" t="s">
        <v>286</v>
      </c>
      <c r="D43" s="902" t="s">
        <v>233</v>
      </c>
      <c r="E43" s="856" t="s">
        <v>293</v>
      </c>
      <c r="F43" s="902" t="s">
        <v>294</v>
      </c>
      <c r="G43" s="857" t="s">
        <v>43</v>
      </c>
      <c r="H43" s="902" t="s">
        <v>2273</v>
      </c>
      <c r="I43" s="904">
        <v>400</v>
      </c>
      <c r="J43" s="904">
        <v>2698</v>
      </c>
      <c r="K43" s="684">
        <f>WWWW[[#This Row],[Total PoP ]]/WWWW[[#This Row],[Total HH]]</f>
        <v>6.7450000000000001</v>
      </c>
      <c r="L43" s="905">
        <v>44713</v>
      </c>
      <c r="M43" s="906">
        <v>45077</v>
      </c>
      <c r="N43" s="904"/>
      <c r="O43" s="500">
        <v>41</v>
      </c>
      <c r="P43" s="904">
        <v>42</v>
      </c>
      <c r="Q43" s="500"/>
      <c r="R43" s="500"/>
      <c r="S43" s="904"/>
      <c r="T43" s="904"/>
      <c r="U43" s="904"/>
      <c r="V43" s="907"/>
      <c r="W43" s="904">
        <v>60</v>
      </c>
      <c r="X43" s="907">
        <v>0.65</v>
      </c>
      <c r="Y43" s="904"/>
      <c r="Z43" s="500"/>
      <c r="AA43" s="500"/>
      <c r="AB43" s="908"/>
      <c r="AC43" s="904">
        <v>149</v>
      </c>
      <c r="AD43" s="904">
        <v>149</v>
      </c>
      <c r="AE43" s="904">
        <v>26</v>
      </c>
      <c r="AF43" s="904">
        <v>85</v>
      </c>
      <c r="AG43" s="907"/>
      <c r="AH43" s="907"/>
      <c r="AI43" s="907"/>
      <c r="AJ43" s="904">
        <v>3</v>
      </c>
      <c r="AK43" s="904">
        <v>9</v>
      </c>
      <c r="AL43" s="904"/>
      <c r="AM43" s="500"/>
      <c r="AN43" s="904" t="s">
        <v>41</v>
      </c>
      <c r="AO43" s="909"/>
      <c r="AP43" s="904">
        <v>575</v>
      </c>
      <c r="AQ43" s="904">
        <v>697</v>
      </c>
      <c r="AR43" s="904">
        <v>426</v>
      </c>
      <c r="AS43" s="904">
        <v>284</v>
      </c>
      <c r="AT43" s="904">
        <v>400</v>
      </c>
      <c r="AU43" s="904">
        <v>667</v>
      </c>
      <c r="AV43" s="450"/>
      <c r="AW43" s="907"/>
      <c r="AX43" s="451"/>
      <c r="AY43" s="910"/>
      <c r="AZ43" s="450"/>
      <c r="BA43" s="450"/>
      <c r="BB43" s="450"/>
      <c r="BC43" s="450"/>
      <c r="BD43" s="450"/>
      <c r="BE43" s="500"/>
      <c r="BF43" s="500"/>
      <c r="BG43" s="500"/>
      <c r="BH43" s="500"/>
      <c r="BI43" s="500"/>
      <c r="BJ43" s="500"/>
      <c r="BK43" s="500"/>
      <c r="BL43" s="911" t="str">
        <f>IF(WWWW[[#This Row],['#_Water samples_Tested_at_water_source]]="","no test","Tested")</f>
        <v>no test</v>
      </c>
      <c r="BM43" s="911" t="str">
        <f>IF(WWWW[[#This Row],['#_Water samples_Tested_at_HH]]="","no test","Tested")</f>
        <v>Tested</v>
      </c>
      <c r="BN43" s="912" t="str">
        <f>IF(AND(WWWW[[#This Row],[Water_testing_at source]]="no test",WWWW[[#This Row],[Water_testing_at HH]]="no test"),"No Test","Tested")</f>
        <v>Tested</v>
      </c>
      <c r="BO43"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3" s="913">
        <f>WWWW[[#This Row],[% HRP1]]*WWWW[[#This Row],[Total PoP ]]</f>
        <v>2698</v>
      </c>
      <c r="BQ43" s="914">
        <f>WWWW[[#This Row],[HRP1]]/500</f>
        <v>5.3959999999999999</v>
      </c>
      <c r="BR43" s="915">
        <f>1-WWWW[[#This Row],[% HRP1]]</f>
        <v>0</v>
      </c>
      <c r="BS43" s="914">
        <f>WWWW[[#This Row],[%equitable and continuous access to sufficient quantity of safe drinking and domestic water''s GAP]]*WWWW[[#This Row],[Total PoP ]]</f>
        <v>0</v>
      </c>
      <c r="BT43" s="451">
        <f>ROUND(IF(WWWW[[#This Row],[Total PoP ]]&lt;500,1,WWWW[[#This Row],[Total PoP ]]/500),0)</f>
        <v>5</v>
      </c>
      <c r="BU43" s="912">
        <f>IF(WWWW[[#This Row],[Total required water points]]-WWWW[[#This Row],['#Water points coverage]]&lt;0,0,WWWW[[#This Row],[Total required water points]]-WWWW[[#This Row],['#Water points coverage]])</f>
        <v>0</v>
      </c>
      <c r="BV43" s="452">
        <f>WWWW[[#This Row],[HRP2]]/WWWW[[#This Row],[Total PoP ]]</f>
        <v>1</v>
      </c>
      <c r="BW43"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43" s="455">
        <f>IF(WWWW[[#This Row],['#_Functional_adult_latrines]]="","",WWWW[[#This Row],[Total PoP ]]/WWWW[[#This Row],['#_Functional_adult_latrines]])</f>
        <v>18.107382550335572</v>
      </c>
      <c r="BY43" s="912">
        <f>WWWW[[#This Row],['#_of_latrines_in_TLS/CFS]]*50</f>
        <v>0</v>
      </c>
      <c r="BZ43" s="451">
        <f>IF(WWWW[[#This Row],['#_of_latrines_in_THF]]="",0,WWWW[[#This Row],['#_of_latrines_in_THF]]*50)</f>
        <v>0</v>
      </c>
      <c r="CA43" s="912">
        <f>ROUND(IF(WWWW[[#This Row],[Location Type 1]]="camp",WWWW[[#This Row],[Total PoP ]]/20),0)</f>
        <v>135</v>
      </c>
      <c r="CB43" s="912">
        <f>IF(WWWW[[#This Row],[Total required Latrines]]-WWWW[[#This Row],['#_Existing_latrines]]&lt;0,0,WWWW[[#This Row],[Total required Latrines]]-WWWW[[#This Row],['#_Existing_latrines]])</f>
        <v>0</v>
      </c>
      <c r="CC43" s="915">
        <f>1-WWWW[[#This Row],[% HRP2]]</f>
        <v>0</v>
      </c>
      <c r="CD43" s="911">
        <f>IF(WWWW[[#This Row],['#_Existing_latrines]]="","NA",(WWWW[[#This Row],['#_Existing_latrines]]-WWWW[[#This Row],['#_Functional_adult_latrines]])/WWWW[[#This Row],['#_Existing_latrines]])</f>
        <v>0</v>
      </c>
      <c r="CE43"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1982</v>
      </c>
      <c r="CF43"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2698</v>
      </c>
      <c r="CG43" s="912">
        <f>IF(WWWW[[#This Row],['#_of_affected_women_and_girls_receiving_a_sufficient_quantity_of_sanitary_pads]]&gt;WWWW[[#This Row],[Total PoP ]],WWWW[[#This Row],[Total PoP ]],WWWW[[#This Row],['#_of_affected_women_and_girls_receiving_a_sufficient_quantity_of_sanitary_pads]])</f>
        <v>667</v>
      </c>
      <c r="CH43" s="912">
        <f>IF(WWWW[[#This Row],['# People with access to soap]]&gt;WWWW[[#This Row],['# People with access to Sanity Pads]],WWWW[[#This Row],['# People with access to soap]],WWWW[[#This Row],['# People with access to Sanity Pads]])</f>
        <v>2698</v>
      </c>
      <c r="CI43" s="912">
        <f>IF(WWWW[[#This Row],['# people reached by regular dedicated hygiene promotion_5]]&gt;WWWW[[#This Row],['# People received regular supply of hygiene items_6]],WWWW[[#This Row],['# people reached by regular dedicated hygiene promotion_5]],WWWW[[#This Row],['# People received regular supply of hygiene items_6]])</f>
        <v>2698</v>
      </c>
      <c r="CJ43" s="915">
        <f>IF(WWWW[[#This Row],[HRP3]]/WWWW[[#This Row],[Total PoP ]]&gt;100%,100%,WWWW[[#This Row],[HRP3]]/WWWW[[#This Row],[Total PoP ]])</f>
        <v>1</v>
      </c>
      <c r="CK43" s="911">
        <f>1-WWWW[[#This Row],[Hygiene Coverage%]]</f>
        <v>0</v>
      </c>
      <c r="CL43" s="907">
        <f>WWWW[[#This Row],['# people reached by regular dedicated hygiene promotion_5]]/WWWW[[#This Row],[Total PoP ]]</f>
        <v>0.73461823573017049</v>
      </c>
      <c r="CM43" s="911">
        <f>IF(WWWW[[#This Row],['#_of_affected_households_receiving_a_sufficient_quantity_of_soap]]/WWWW[[#This Row],[Total HH]]&gt;1,1,WWWW[[#This Row],['#_of_affected_households_receiving_a_sufficient_quantity_of_soap]]/WWWW[[#This Row],[Total HH]])</f>
        <v>1</v>
      </c>
      <c r="CN43" s="455" t="str">
        <f>IF(WWWW[[#This Row],['#_students at TLS_CFS]]="","No","Yes")</f>
        <v>No</v>
      </c>
      <c r="CO43" s="452">
        <f>WWWW[[#This Row],[%_of_affected_people_surveyed_who_report_feeling_informed_about_the_different_WASH_services_available_to_them]]</f>
        <v>0</v>
      </c>
      <c r="CP4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3" s="500">
        <f>IF(WWWW[[#This Row],['#_PPL_accessed_water_in_TLS]]&gt;WWWW[[#This Row],['# students access to functioning school latrines_HRP5]],WWWW[[#This Row],['#_PPL_accessed_water_in_TLS]],WWWW[[#This Row],['# students access to functioning school latrines_HRP5]])</f>
        <v>0</v>
      </c>
      <c r="CR43" s="500">
        <f>IF(WWWW[[#This Row],['#_PPL_accessed_water_in_THF]]&gt;WWWW[[#This Row],['# people access to functioning latrines in THF_HRP6]],WWWW[[#This Row],['#_PPL_accessed_water_in_THF]],WWWW[[#This Row],['# people access to functioning latrines in THF_HRP6]])</f>
        <v>0</v>
      </c>
      <c r="CS43" s="903">
        <f>VLOOKUP(WWWW[[#This Row],[Site Name]],SiteDB6[[Site Name]:[CCCM Management]],6,FALSE)</f>
        <v>0</v>
      </c>
      <c r="CT43" s="903">
        <f>VLOOKUP(WWWW[[#This Row],[Site Name]],SiteDB6[[Site Name]:[CCCM Focal Agency]],7,FALSE)</f>
        <v>0</v>
      </c>
      <c r="CU43" s="903" t="str">
        <f>VLOOKUP(WWWW[[#This Row],[Site Name]],SiteDB6[[Site Name]:[Location Type 1]],9,FALSE)</f>
        <v>Camp</v>
      </c>
      <c r="CV43" s="903" t="str">
        <f>VLOOKUP(WWWW[[#This Row],[Site Name]],SiteDB6[[Site Name]:[Type of Accommodation]],10,FALSE)</f>
        <v>Planned Camp</v>
      </c>
      <c r="CW43" s="903" t="str">
        <f>VLOOKUP(WWWW[[#This Row],[Site Name]],SiteDB6[[Site Name]:[Ethnic or GCA/NGCA]],11,FALSE)</f>
        <v>Muslim</v>
      </c>
      <c r="CX43" s="903">
        <f>VLOOKUP(WWWW[[#This Row],[Site Name]],SiteDB6[[Site Name]:[Lat]],12,FALSE)</f>
        <v>20.207284999999999</v>
      </c>
      <c r="CY43" s="903">
        <f>VLOOKUP(WWWW[[#This Row],[Site Name]],SiteDB6[[Site Name]:[Long]],13,FALSE)</f>
        <v>92.788177000000005</v>
      </c>
      <c r="CZ43" s="903" t="str">
        <f>VLOOKUP(WWWW[[#This Row],[Site Name]],SiteDB6[[Site Name]:[Pcode]],3,FALSE)</f>
        <v>MMR012CMP045</v>
      </c>
      <c r="DA43" s="916" t="str">
        <f t="shared" si="1"/>
        <v>Covered</v>
      </c>
      <c r="DB43" s="477">
        <f>VLOOKUP(WWWW[[#This Row],[Site Name]],SiteDB6[[Site Name]:[PWD_Total]],22,FALSE)</f>
        <v>0</v>
      </c>
      <c r="DC43" s="477">
        <f>VLOOKUP(WWWW[[#This Row],[Site Name]],SiteDB6[[Site Name]:[PWD_Total]],23,FALSE)</f>
        <v>0</v>
      </c>
      <c r="DD43" s="477">
        <f>WWWW[[#This Row],['# of Male_People with disabilities]]+WWWW[[#This Row],['# of Female_People with disabilities]]</f>
        <v>0</v>
      </c>
      <c r="DE43" s="903"/>
      <c r="DF43" s="916"/>
      <c r="DG43" s="916"/>
      <c r="DH43" s="916"/>
      <c r="DI43" s="916">
        <f>VLOOKUP(WWWW[[#This Row],[Site Name]],SiteDB6[[Site Name]:[Pop
(CCCM as of Autust 2021)]],16,FALSE)</f>
        <v>0</v>
      </c>
      <c r="DJ43" s="916">
        <f>VLOOKUP(WWWW[[#This Row],[Site Name]],SiteDB6[[Site Name]:[Pop
(CCCM as of Autust 2021)]],17,FALSE)</f>
        <v>0</v>
      </c>
    </row>
    <row r="44" spans="1:114">
      <c r="A44" s="896" t="s">
        <v>3145</v>
      </c>
      <c r="B44" s="901" t="s">
        <v>2620</v>
      </c>
      <c r="C44" s="901" t="s">
        <v>2620</v>
      </c>
      <c r="D44" s="902" t="s">
        <v>3187</v>
      </c>
      <c r="E44" s="856" t="s">
        <v>293</v>
      </c>
      <c r="F44" s="902" t="s">
        <v>294</v>
      </c>
      <c r="G44" s="857" t="s">
        <v>43</v>
      </c>
      <c r="H44" s="902" t="s">
        <v>438</v>
      </c>
      <c r="I44" s="904">
        <v>2280</v>
      </c>
      <c r="J44" s="904">
        <v>11564</v>
      </c>
      <c r="K44" s="684">
        <f>WWWW[[#This Row],[Total PoP ]]/WWWW[[#This Row],[Total HH]]</f>
        <v>5.0719298245614031</v>
      </c>
      <c r="L44" s="905">
        <v>44652</v>
      </c>
      <c r="M44" s="906">
        <v>44834</v>
      </c>
      <c r="N44" s="904"/>
      <c r="O44" s="500">
        <v>183</v>
      </c>
      <c r="P44" s="904">
        <v>190</v>
      </c>
      <c r="Q44" s="500"/>
      <c r="R44" s="500"/>
      <c r="S44" s="904"/>
      <c r="T44" s="904"/>
      <c r="U44" s="904">
        <v>236</v>
      </c>
      <c r="V44" s="907">
        <v>0.6</v>
      </c>
      <c r="W44" s="904">
        <v>74</v>
      </c>
      <c r="X44" s="907">
        <v>0.34</v>
      </c>
      <c r="Y44" s="904"/>
      <c r="Z44" s="500"/>
      <c r="AA44" s="500"/>
      <c r="AB44" s="908"/>
      <c r="AC44" s="904">
        <v>479</v>
      </c>
      <c r="AD44" s="904">
        <v>520</v>
      </c>
      <c r="AE44" s="904">
        <v>135</v>
      </c>
      <c r="AF44" s="904">
        <v>265</v>
      </c>
      <c r="AG44" s="907">
        <v>1</v>
      </c>
      <c r="AH44" s="907">
        <v>1</v>
      </c>
      <c r="AI44" s="907">
        <v>0.6</v>
      </c>
      <c r="AJ44" s="904">
        <v>12</v>
      </c>
      <c r="AK44" s="904">
        <v>51</v>
      </c>
      <c r="AL44" s="904">
        <v>40</v>
      </c>
      <c r="AM44" s="500"/>
      <c r="AN44" s="904" t="s">
        <v>41</v>
      </c>
      <c r="AO44" s="909"/>
      <c r="AP44" s="904">
        <v>2755</v>
      </c>
      <c r="AQ44" s="904">
        <v>2782</v>
      </c>
      <c r="AR44" s="904"/>
      <c r="AS44" s="904"/>
      <c r="AT44" s="904">
        <v>2280</v>
      </c>
      <c r="AU44" s="904">
        <v>4560</v>
      </c>
      <c r="AV44" s="450">
        <v>1</v>
      </c>
      <c r="AW44" s="907">
        <v>0.5</v>
      </c>
      <c r="AX44" s="451">
        <v>32</v>
      </c>
      <c r="AY44" s="910"/>
      <c r="AZ44" s="450">
        <v>1</v>
      </c>
      <c r="BA44" s="450">
        <v>1</v>
      </c>
      <c r="BB44" s="450">
        <v>1</v>
      </c>
      <c r="BC44" s="450">
        <v>1</v>
      </c>
      <c r="BD44" s="450"/>
      <c r="BE44" s="500"/>
      <c r="BF44" s="500"/>
      <c r="BG44" s="500"/>
      <c r="BH44" s="500"/>
      <c r="BI44" s="500"/>
      <c r="BJ44" s="500"/>
      <c r="BK44" s="500"/>
      <c r="BL44" s="911" t="str">
        <f>IF(WWWW[[#This Row],['#_Water samples_Tested_at_water_source]]="","no test","Tested")</f>
        <v>Tested</v>
      </c>
      <c r="BM44" s="911" t="str">
        <f>IF(WWWW[[#This Row],['#_Water samples_Tested_at_HH]]="","no test","Tested")</f>
        <v>Tested</v>
      </c>
      <c r="BN44" s="912" t="str">
        <f>IF(AND(WWWW[[#This Row],[Water_testing_at source]]="no test",WWWW[[#This Row],[Water_testing_at HH]]="no test"),"No Test","Tested")</f>
        <v>Tested</v>
      </c>
      <c r="BO44"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4" s="913">
        <f>WWWW[[#This Row],[% HRP1]]*WWWW[[#This Row],[Total PoP ]]</f>
        <v>11564</v>
      </c>
      <c r="BQ44" s="914">
        <f>WWWW[[#This Row],[HRP1]]/500</f>
        <v>23.128</v>
      </c>
      <c r="BR44" s="915">
        <f>1-WWWW[[#This Row],[% HRP1]]</f>
        <v>0</v>
      </c>
      <c r="BS44" s="914">
        <f>WWWW[[#This Row],[%equitable and continuous access to sufficient quantity of safe drinking and domestic water''s GAP]]*WWWW[[#This Row],[Total PoP ]]</f>
        <v>0</v>
      </c>
      <c r="BT44" s="451">
        <f>ROUND(IF(WWWW[[#This Row],[Total PoP ]]&lt;500,1,WWWW[[#This Row],[Total PoP ]]/500),0)</f>
        <v>23</v>
      </c>
      <c r="BU44" s="912">
        <f>IF(WWWW[[#This Row],[Total required water points]]-WWWW[[#This Row],['#Water points coverage]]&lt;0,0,WWWW[[#This Row],[Total required water points]]-WWWW[[#This Row],['#Water points coverage]])</f>
        <v>0</v>
      </c>
      <c r="BV44" s="452">
        <f>WWWW[[#This Row],[HRP2]]/WWWW[[#This Row],[Total PoP ]]</f>
        <v>0.85359737115185053</v>
      </c>
      <c r="BW44"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9871</v>
      </c>
      <c r="BX44" s="455">
        <f>IF(WWWW[[#This Row],['#_Functional_adult_latrines]]="","",WWWW[[#This Row],[Total PoP ]]/WWWW[[#This Row],['#_Functional_adult_latrines]])</f>
        <v>24.141962421711899</v>
      </c>
      <c r="BY44" s="912">
        <f>WWWW[[#This Row],['#_of_latrines_in_TLS/CFS]]*50</f>
        <v>2000</v>
      </c>
      <c r="BZ44" s="451">
        <f>IF(WWWW[[#This Row],['#_of_latrines_in_THF]]="",0,WWWW[[#This Row],['#_of_latrines_in_THF]]*50)</f>
        <v>0</v>
      </c>
      <c r="CA44" s="912">
        <f>ROUND(IF(WWWW[[#This Row],[Location Type 1]]="camp",WWWW[[#This Row],[Total PoP ]]/20),0)</f>
        <v>578</v>
      </c>
      <c r="CB44" s="912">
        <f>IF(WWWW[[#This Row],[Total required Latrines]]-WWWW[[#This Row],['#_Existing_latrines]]&lt;0,0,WWWW[[#This Row],[Total required Latrines]]-WWWW[[#This Row],['#_Existing_latrines]])</f>
        <v>58</v>
      </c>
      <c r="CC44" s="915">
        <f>1-WWWW[[#This Row],[% HRP2]]</f>
        <v>0.14640262884814947</v>
      </c>
      <c r="CD44" s="911">
        <f>IF(WWWW[[#This Row],['#_Existing_latrines]]="","NA",(WWWW[[#This Row],['#_Existing_latrines]]-WWWW[[#This Row],['#_Functional_adult_latrines]])/WWWW[[#This Row],['#_Existing_latrines]])</f>
        <v>7.8846153846153844E-2</v>
      </c>
      <c r="CE44"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5537</v>
      </c>
      <c r="CF44"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G44" s="912">
        <f>IF(WWWW[[#This Row],['#_of_affected_women_and_girls_receiving_a_sufficient_quantity_of_sanitary_pads]]&gt;WWWW[[#This Row],[Total PoP ]],WWWW[[#This Row],[Total PoP ]],WWWW[[#This Row],['#_of_affected_women_and_girls_receiving_a_sufficient_quantity_of_sanitary_pads]])</f>
        <v>4560</v>
      </c>
      <c r="CH44" s="912">
        <f>IF(WWWW[[#This Row],['# People with access to soap]]&gt;WWWW[[#This Row],['# People with access to Sanity Pads]],WWWW[[#This Row],['# People with access to soap]],WWWW[[#This Row],['# People with access to Sanity Pads]])</f>
        <v>11564</v>
      </c>
      <c r="CI44" s="912">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J44" s="915">
        <f>IF(WWWW[[#This Row],[HRP3]]/WWWW[[#This Row],[Total PoP ]]&gt;100%,100%,WWWW[[#This Row],[HRP3]]/WWWW[[#This Row],[Total PoP ]])</f>
        <v>1</v>
      </c>
      <c r="CK44" s="911">
        <f>1-WWWW[[#This Row],[Hygiene Coverage%]]</f>
        <v>0</v>
      </c>
      <c r="CL44" s="907">
        <f>WWWW[[#This Row],['# people reached by regular dedicated hygiene promotion_5]]/WWWW[[#This Row],[Total PoP ]]</f>
        <v>0.4788135593220339</v>
      </c>
      <c r="CM44" s="911">
        <f>IF(WWWW[[#This Row],['#_of_affected_households_receiving_a_sufficient_quantity_of_soap]]/WWWW[[#This Row],[Total HH]]&gt;1,1,WWWW[[#This Row],['#_of_affected_households_receiving_a_sufficient_quantity_of_soap]]/WWWW[[#This Row],[Total HH]])</f>
        <v>1</v>
      </c>
      <c r="CN44" s="455" t="str">
        <f>IF(WWWW[[#This Row],['#_students at TLS_CFS]]="","No","Yes")</f>
        <v>No</v>
      </c>
      <c r="CO44" s="452">
        <f>WWWW[[#This Row],[%_of_affected_people_surveyed_who_report_feeling_informed_about_the_different_WASH_services_available_to_them]]</f>
        <v>1</v>
      </c>
      <c r="CP4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4" s="500">
        <f>IF(WWWW[[#This Row],['#_PPL_accessed_water_in_TLS]]&gt;WWWW[[#This Row],['# students access to functioning school latrines_HRP5]],WWWW[[#This Row],['#_PPL_accessed_water_in_TLS]],WWWW[[#This Row],['# students access to functioning school latrines_HRP5]])</f>
        <v>2000</v>
      </c>
      <c r="CR44" s="500">
        <f>IF(WWWW[[#This Row],['#_PPL_accessed_water_in_THF]]&gt;WWWW[[#This Row],['# people access to functioning latrines in THF_HRP6]],WWWW[[#This Row],['#_PPL_accessed_water_in_THF]],WWWW[[#This Row],['# people access to functioning latrines in THF_HRP6]])</f>
        <v>0</v>
      </c>
      <c r="CS44" s="903" t="str">
        <f>VLOOKUP(WWWW[[#This Row],[Site Name]],SiteDB6[[Site Name]:[CCCM Management]],6,FALSE)</f>
        <v>Yes</v>
      </c>
      <c r="CT44" s="903">
        <f>VLOOKUP(WWWW[[#This Row],[Site Name]],SiteDB6[[Site Name]:[CCCM Focal Agency]],7,FALSE)</f>
        <v>0</v>
      </c>
      <c r="CU44" s="903" t="str">
        <f>VLOOKUP(WWWW[[#This Row],[Site Name]],SiteDB6[[Site Name]:[Location Type 1]],9,FALSE)</f>
        <v>Camp</v>
      </c>
      <c r="CV44" s="903" t="str">
        <f>VLOOKUP(WWWW[[#This Row],[Site Name]],SiteDB6[[Site Name]:[Type of Accommodation]],10,FALSE)</f>
        <v>Planned Camp</v>
      </c>
      <c r="CW44" s="903" t="str">
        <f>VLOOKUP(WWWW[[#This Row],[Site Name]],SiteDB6[[Site Name]:[Ethnic or GCA/NGCA]],11,FALSE)</f>
        <v>Muslim</v>
      </c>
      <c r="CX44" s="903">
        <f>VLOOKUP(WWWW[[#This Row],[Site Name]],SiteDB6[[Site Name]:[Lat]],12,FALSE)</f>
        <v>20.202525000000001</v>
      </c>
      <c r="CY44" s="903">
        <f>VLOOKUP(WWWW[[#This Row],[Site Name]],SiteDB6[[Site Name]:[Long]],13,FALSE)</f>
        <v>92.792479999999998</v>
      </c>
      <c r="CZ44" s="903" t="str">
        <f>VLOOKUP(WWWW[[#This Row],[Site Name]],SiteDB6[[Site Name]:[Pcode]],3,FALSE)</f>
        <v>MMR012CMP045</v>
      </c>
      <c r="DA44" s="916" t="str">
        <f t="shared" si="1"/>
        <v>Covered</v>
      </c>
      <c r="DB44" s="477">
        <f>VLOOKUP(WWWW[[#This Row],[Site Name]],SiteDB6[[Site Name]:[PWD_Total]],22,FALSE)</f>
        <v>114</v>
      </c>
      <c r="DC44" s="477">
        <f>VLOOKUP(WWWW[[#This Row],[Site Name]],SiteDB6[[Site Name]:[PWD_Total]],23,FALSE)</f>
        <v>1144</v>
      </c>
      <c r="DD44" s="477">
        <f>WWWW[[#This Row],['# of Male_People with disabilities]]+WWWW[[#This Row],['# of Female_People with disabilities]]</f>
        <v>1258</v>
      </c>
      <c r="DE44" s="903"/>
      <c r="DF44" s="916"/>
      <c r="DG44" s="916"/>
      <c r="DH44" s="916"/>
      <c r="DI44" s="916">
        <f>VLOOKUP(WWWW[[#This Row],[Site Name]],SiteDB6[[Site Name]:[Pop
(CCCM as of Autust 2021)]],16,FALSE)</f>
        <v>2678</v>
      </c>
      <c r="DJ44" s="916">
        <f>VLOOKUP(WWWW[[#This Row],[Site Name]],SiteDB6[[Site Name]:[Pop
(CCCM as of Autust 2021)]],17,FALSE)</f>
        <v>14788</v>
      </c>
    </row>
    <row r="45" spans="1:114">
      <c r="A45" s="896" t="s">
        <v>3145</v>
      </c>
      <c r="B45" s="901" t="s">
        <v>286</v>
      </c>
      <c r="C45" s="902" t="s">
        <v>286</v>
      </c>
      <c r="D45" s="902" t="s">
        <v>3003</v>
      </c>
      <c r="E45" s="856" t="s">
        <v>293</v>
      </c>
      <c r="F45" s="902" t="s">
        <v>401</v>
      </c>
      <c r="G45" s="857" t="s">
        <v>43</v>
      </c>
      <c r="H45" s="902" t="s">
        <v>404</v>
      </c>
      <c r="I45" s="904">
        <v>811</v>
      </c>
      <c r="J45" s="904">
        <v>2861</v>
      </c>
      <c r="K45" s="684">
        <f>WWWW[[#This Row],[Total PoP ]]/WWWW[[#This Row],[Total HH]]</f>
        <v>3.5277435265104811</v>
      </c>
      <c r="L45" s="905">
        <v>44713</v>
      </c>
      <c r="M45" s="906">
        <v>45077</v>
      </c>
      <c r="N45" s="904"/>
      <c r="O45" s="500"/>
      <c r="P45" s="904"/>
      <c r="Q45" s="500">
        <v>16</v>
      </c>
      <c r="R45" s="500">
        <v>16</v>
      </c>
      <c r="S45" s="904"/>
      <c r="T45" s="904">
        <v>2861</v>
      </c>
      <c r="U45" s="904"/>
      <c r="V45" s="907"/>
      <c r="W45" s="904"/>
      <c r="X45" s="907"/>
      <c r="Y45" s="904"/>
      <c r="Z45" s="500"/>
      <c r="AA45" s="500"/>
      <c r="AB45" s="908" t="s">
        <v>3157</v>
      </c>
      <c r="AC45" s="904">
        <v>352</v>
      </c>
      <c r="AD45" s="904">
        <v>363</v>
      </c>
      <c r="AE45" s="904">
        <v>7</v>
      </c>
      <c r="AF45" s="904">
        <v>40</v>
      </c>
      <c r="AG45" s="907"/>
      <c r="AH45" s="907"/>
      <c r="AI45" s="907"/>
      <c r="AJ45" s="904">
        <v>1</v>
      </c>
      <c r="AK45" s="904"/>
      <c r="AL45" s="904"/>
      <c r="AM45" s="500"/>
      <c r="AN45" s="904" t="s">
        <v>41</v>
      </c>
      <c r="AO45" s="909"/>
      <c r="AP45" s="904">
        <v>1353</v>
      </c>
      <c r="AQ45" s="904">
        <v>1810</v>
      </c>
      <c r="AR45" s="904">
        <v>719</v>
      </c>
      <c r="AS45" s="904">
        <v>811</v>
      </c>
      <c r="AT45" s="904">
        <v>811</v>
      </c>
      <c r="AU45" s="904">
        <v>565</v>
      </c>
      <c r="AV45" s="450">
        <v>1</v>
      </c>
      <c r="AW45" s="907"/>
      <c r="AX45" s="451"/>
      <c r="AY45" s="910"/>
      <c r="AZ45" s="450"/>
      <c r="BA45" s="450"/>
      <c r="BB45" s="450"/>
      <c r="BC45" s="450"/>
      <c r="BD45" s="450"/>
      <c r="BE45" s="500"/>
      <c r="BF45" s="500"/>
      <c r="BG45" s="500"/>
      <c r="BH45" s="500"/>
      <c r="BI45" s="500"/>
      <c r="BJ45" s="500"/>
      <c r="BK45" s="500"/>
      <c r="BL45" s="911" t="str">
        <f>IF(WWWW[[#This Row],['#_Water samples_Tested_at_water_source]]="","no test","Tested")</f>
        <v>no test</v>
      </c>
      <c r="BM45" s="911" t="str">
        <f>IF(WWWW[[#This Row],['#_Water samples_Tested_at_HH]]="","no test","Tested")</f>
        <v>no test</v>
      </c>
      <c r="BN45" s="912" t="str">
        <f>IF(AND(WWWW[[#This Row],[Water_testing_at source]]="no test",WWWW[[#This Row],[Water_testing_at HH]]="no test"),"No Test","Tested")</f>
        <v>No Test</v>
      </c>
      <c r="BO45"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5" s="913">
        <f>WWWW[[#This Row],[% HRP1]]*WWWW[[#This Row],[Total PoP ]]</f>
        <v>2861</v>
      </c>
      <c r="BQ45" s="914">
        <f>WWWW[[#This Row],[HRP1]]/500</f>
        <v>5.7220000000000004</v>
      </c>
      <c r="BR45" s="915">
        <f>1-WWWW[[#This Row],[% HRP1]]</f>
        <v>0</v>
      </c>
      <c r="BS45" s="914">
        <f>WWWW[[#This Row],[%equitable and continuous access to sufficient quantity of safe drinking and domestic water''s GAP]]*WWWW[[#This Row],[Total PoP ]]</f>
        <v>0</v>
      </c>
      <c r="BT45" s="451">
        <f>ROUND(IF(WWWW[[#This Row],[Total PoP ]]&lt;500,1,WWWW[[#This Row],[Total PoP ]]/500),0)</f>
        <v>6</v>
      </c>
      <c r="BU45" s="912">
        <f>IF(WWWW[[#This Row],[Total required water points]]-WWWW[[#This Row],['#Water points coverage]]&lt;0,0,WWWW[[#This Row],[Total required water points]]-WWWW[[#This Row],['#Water points coverage]])</f>
        <v>0.27799999999999958</v>
      </c>
      <c r="BV45" s="452">
        <f>WWWW[[#This Row],[HRP2]]/WWWW[[#This Row],[Total PoP ]]</f>
        <v>1</v>
      </c>
      <c r="BW45"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45" s="455">
        <f>IF(WWWW[[#This Row],['#_Functional_adult_latrines]]="","",WWWW[[#This Row],[Total PoP ]]/WWWW[[#This Row],['#_Functional_adult_latrines]])</f>
        <v>8.1278409090909083</v>
      </c>
      <c r="BY45" s="912">
        <f>WWWW[[#This Row],['#_of_latrines_in_TLS/CFS]]*50</f>
        <v>0</v>
      </c>
      <c r="BZ45" s="451">
        <f>IF(WWWW[[#This Row],['#_of_latrines_in_THF]]="",0,WWWW[[#This Row],['#_of_latrines_in_THF]]*50)</f>
        <v>0</v>
      </c>
      <c r="CA45" s="912">
        <f>ROUND(IF(WWWW[[#This Row],[Location Type 1]]="camp",WWWW[[#This Row],[Total PoP ]]/20),0)</f>
        <v>143</v>
      </c>
      <c r="CB45" s="912">
        <f>IF(WWWW[[#This Row],[Total required Latrines]]-WWWW[[#This Row],['#_Existing_latrines]]&lt;0,0,WWWW[[#This Row],[Total required Latrines]]-WWWW[[#This Row],['#_Existing_latrines]])</f>
        <v>0</v>
      </c>
      <c r="CC45" s="915">
        <f>1-WWWW[[#This Row],[% HRP2]]</f>
        <v>0</v>
      </c>
      <c r="CD45" s="911">
        <f>IF(WWWW[[#This Row],['#_Existing_latrines]]="","NA",(WWWW[[#This Row],['#_Existing_latrines]]-WWWW[[#This Row],['#_Functional_adult_latrines]])/WWWW[[#This Row],['#_Existing_latrines]])</f>
        <v>3.0303030303030304E-2</v>
      </c>
      <c r="CE45"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2861</v>
      </c>
      <c r="CF45"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2861</v>
      </c>
      <c r="CG45" s="912">
        <f>IF(WWWW[[#This Row],['#_of_affected_women_and_girls_receiving_a_sufficient_quantity_of_sanitary_pads]]&gt;WWWW[[#This Row],[Total PoP ]],WWWW[[#This Row],[Total PoP ]],WWWW[[#This Row],['#_of_affected_women_and_girls_receiving_a_sufficient_quantity_of_sanitary_pads]])</f>
        <v>565</v>
      </c>
      <c r="CH45" s="912">
        <f>IF(WWWW[[#This Row],['# People with access to soap]]&gt;WWWW[[#This Row],['# People with access to Sanity Pads]],WWWW[[#This Row],['# People with access to soap]],WWWW[[#This Row],['# People with access to Sanity Pads]])</f>
        <v>2861</v>
      </c>
      <c r="CI45" s="912">
        <f>IF(WWWW[[#This Row],['# people reached by regular dedicated hygiene promotion_5]]&gt;WWWW[[#This Row],['# People received regular supply of hygiene items_6]],WWWW[[#This Row],['# people reached by regular dedicated hygiene promotion_5]],WWWW[[#This Row],['# People received regular supply of hygiene items_6]])</f>
        <v>2861</v>
      </c>
      <c r="CJ45" s="915">
        <f>IF(WWWW[[#This Row],[HRP3]]/WWWW[[#This Row],[Total PoP ]]&gt;100%,100%,WWWW[[#This Row],[HRP3]]/WWWW[[#This Row],[Total PoP ]])</f>
        <v>1</v>
      </c>
      <c r="CK45" s="911">
        <f>1-WWWW[[#This Row],[Hygiene Coverage%]]</f>
        <v>0</v>
      </c>
      <c r="CL45" s="907">
        <f>WWWW[[#This Row],['# people reached by regular dedicated hygiene promotion_5]]/WWWW[[#This Row],[Total PoP ]]</f>
        <v>1</v>
      </c>
      <c r="CM45" s="911">
        <f>IF(WWWW[[#This Row],['#_of_affected_households_receiving_a_sufficient_quantity_of_soap]]/WWWW[[#This Row],[Total HH]]&gt;1,1,WWWW[[#This Row],['#_of_affected_households_receiving_a_sufficient_quantity_of_soap]]/WWWW[[#This Row],[Total HH]])</f>
        <v>1</v>
      </c>
      <c r="CN45" s="455" t="str">
        <f>IF(WWWW[[#This Row],['#_students at TLS_CFS]]="","No","Yes")</f>
        <v>No</v>
      </c>
      <c r="CO45" s="452">
        <f>WWWW[[#This Row],[%_of_affected_people_surveyed_who_report_feeling_informed_about_the_different_WASH_services_available_to_them]]</f>
        <v>0</v>
      </c>
      <c r="CP4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5" s="500">
        <f>IF(WWWW[[#This Row],['#_PPL_accessed_water_in_TLS]]&gt;WWWW[[#This Row],['# students access to functioning school latrines_HRP5]],WWWW[[#This Row],['#_PPL_accessed_water_in_TLS]],WWWW[[#This Row],['# students access to functioning school latrines_HRP5]])</f>
        <v>0</v>
      </c>
      <c r="CR45" s="500">
        <f>IF(WWWW[[#This Row],['#_PPL_accessed_water_in_THF]]&gt;WWWW[[#This Row],['# people access to functioning latrines in THF_HRP6]],WWWW[[#This Row],['#_PPL_accessed_water_in_THF]],WWWW[[#This Row],['# people access to functioning latrines in THF_HRP6]])</f>
        <v>0</v>
      </c>
      <c r="CS45" s="903" t="str">
        <f>VLOOKUP(WWWW[[#This Row],[Site Name]],SiteDB6[[Site Name]:[CCCM Management]],6,FALSE)</f>
        <v>Yes</v>
      </c>
      <c r="CT45" s="903" t="str">
        <f>VLOOKUP(WWWW[[#This Row],[Site Name]],SiteDB6[[Site Name]:[CCCM Focal Agency]],7,FALSE)</f>
        <v>DRC</v>
      </c>
      <c r="CU45" s="903" t="str">
        <f>VLOOKUP(WWWW[[#This Row],[Site Name]],SiteDB6[[Site Name]:[Location Type 1]],9,FALSE)</f>
        <v>Camp</v>
      </c>
      <c r="CV45" s="903" t="str">
        <f>VLOOKUP(WWWW[[#This Row],[Site Name]],SiteDB6[[Site Name]:[Type of Accommodation]],10,FALSE)</f>
        <v>Planned Camp</v>
      </c>
      <c r="CW45" s="903" t="str">
        <f>VLOOKUP(WWWW[[#This Row],[Site Name]],SiteDB6[[Site Name]:[Ethnic or GCA/NGCA]],11,FALSE)</f>
        <v>Muslim</v>
      </c>
      <c r="CX45" s="903">
        <f>VLOOKUP(WWWW[[#This Row],[Site Name]],SiteDB6[[Site Name]:[Lat]],12,FALSE)</f>
        <v>20.064226000000001</v>
      </c>
      <c r="CY45" s="903">
        <f>VLOOKUP(WWWW[[#This Row],[Site Name]],SiteDB6[[Site Name]:[Long]],13,FALSE)</f>
        <v>92.993758999999997</v>
      </c>
      <c r="CZ45" s="903" t="str">
        <f>VLOOKUP(WWWW[[#This Row],[Site Name]],SiteDB6[[Site Name]:[Pcode]],3,FALSE)</f>
        <v>MMR012CMP019</v>
      </c>
      <c r="DA45" s="916" t="str">
        <f t="shared" si="1"/>
        <v>Covered</v>
      </c>
      <c r="DB45" s="477">
        <f>VLOOKUP(WWWW[[#This Row],[Site Name]],SiteDB6[[Site Name]:[PWD_Total]],22,FALSE)</f>
        <v>159</v>
      </c>
      <c r="DC45" s="477">
        <f>VLOOKUP(WWWW[[#This Row],[Site Name]],SiteDB6[[Site Name]:[PWD_Total]],23,FALSE)</f>
        <v>361</v>
      </c>
      <c r="DD45" s="477">
        <f>WWWW[[#This Row],['# of Male_People with disabilities]]+WWWW[[#This Row],['# of Female_People with disabilities]]</f>
        <v>520</v>
      </c>
      <c r="DE45" s="903"/>
      <c r="DF45" s="916"/>
      <c r="DG45" s="916"/>
      <c r="DH45" s="916"/>
      <c r="DI45" s="916">
        <f>VLOOKUP(WWWW[[#This Row],[Site Name]],SiteDB6[[Site Name]:[Pop
(CCCM as of Autust 2021)]],16,FALSE)</f>
        <v>682</v>
      </c>
      <c r="DJ45" s="916">
        <f>VLOOKUP(WWWW[[#This Row],[Site Name]],SiteDB6[[Site Name]:[Pop
(CCCM as of Autust 2021)]],17,FALSE)</f>
        <v>2588</v>
      </c>
    </row>
    <row r="46" spans="1:114">
      <c r="A46" s="896" t="s">
        <v>3145</v>
      </c>
      <c r="B46" s="901" t="s">
        <v>397</v>
      </c>
      <c r="C46" s="902" t="s">
        <v>397</v>
      </c>
      <c r="D46" s="902" t="s">
        <v>3003</v>
      </c>
      <c r="E46" s="856" t="s">
        <v>293</v>
      </c>
      <c r="F46" s="902" t="s">
        <v>398</v>
      </c>
      <c r="G46" s="857" t="s">
        <v>43</v>
      </c>
      <c r="H46" s="902" t="s">
        <v>399</v>
      </c>
      <c r="I46" s="904">
        <v>716</v>
      </c>
      <c r="J46" s="904">
        <v>2920</v>
      </c>
      <c r="K46" s="684">
        <f>WWWW[[#This Row],[Total PoP ]]/WWWW[[#This Row],[Total HH]]</f>
        <v>4.0782122905027931</v>
      </c>
      <c r="L46" s="905">
        <v>43952</v>
      </c>
      <c r="M46" s="906">
        <v>44316</v>
      </c>
      <c r="N46" s="904"/>
      <c r="O46" s="500"/>
      <c r="P46" s="904"/>
      <c r="Q46" s="500">
        <v>6</v>
      </c>
      <c r="R46" s="500">
        <v>6</v>
      </c>
      <c r="S46" s="904"/>
      <c r="T46" s="904"/>
      <c r="U46" s="904"/>
      <c r="V46" s="907"/>
      <c r="W46" s="904"/>
      <c r="X46" s="907"/>
      <c r="Y46" s="904"/>
      <c r="Z46" s="500"/>
      <c r="AA46" s="500"/>
      <c r="AB46" s="908"/>
      <c r="AC46" s="904">
        <v>642</v>
      </c>
      <c r="AD46" s="904">
        <v>642</v>
      </c>
      <c r="AE46" s="904"/>
      <c r="AF46" s="904"/>
      <c r="AG46" s="907"/>
      <c r="AH46" s="907"/>
      <c r="AI46" s="907"/>
      <c r="AJ46" s="904">
        <v>6</v>
      </c>
      <c r="AK46" s="904"/>
      <c r="AL46" s="904">
        <v>4</v>
      </c>
      <c r="AM46" s="500">
        <v>1</v>
      </c>
      <c r="AN46" s="904" t="s">
        <v>125</v>
      </c>
      <c r="AO46" s="909"/>
      <c r="AP46" s="904"/>
      <c r="AQ46" s="904"/>
      <c r="AR46" s="904"/>
      <c r="AS46" s="904"/>
      <c r="AT46" s="904"/>
      <c r="AU46" s="904"/>
      <c r="AV46" s="450"/>
      <c r="AW46" s="907"/>
      <c r="AX46" s="451"/>
      <c r="AY46" s="910"/>
      <c r="AZ46" s="450"/>
      <c r="BA46" s="450"/>
      <c r="BB46" s="450"/>
      <c r="BC46" s="450"/>
      <c r="BD46" s="450"/>
      <c r="BE46" s="500"/>
      <c r="BF46" s="500"/>
      <c r="BG46" s="500"/>
      <c r="BH46" s="500"/>
      <c r="BI46" s="500"/>
      <c r="BJ46" s="500"/>
      <c r="BK46" s="500"/>
      <c r="BL46" s="911" t="str">
        <f>IF(WWWW[[#This Row],['#_Water samples_Tested_at_water_source]]="","no test","Tested")</f>
        <v>no test</v>
      </c>
      <c r="BM46" s="911" t="str">
        <f>IF(WWWW[[#This Row],['#_Water samples_Tested_at_HH]]="","no test","Tested")</f>
        <v>no test</v>
      </c>
      <c r="BN46" s="912" t="str">
        <f>IF(AND(WWWW[[#This Row],[Water_testing_at source]]="no test",WWWW[[#This Row],[Water_testing_at HH]]="no test"),"No Test","Tested")</f>
        <v>No Test</v>
      </c>
      <c r="BO46"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46" s="913">
        <f>WWWW[[#This Row],[% HRP1]]*WWWW[[#This Row],[Total PoP ]]</f>
        <v>1500.0000000000002</v>
      </c>
      <c r="BQ46" s="914">
        <f>WWWW[[#This Row],[HRP1]]/500</f>
        <v>3.0000000000000004</v>
      </c>
      <c r="BR46" s="915">
        <f>1-WWWW[[#This Row],[% HRP1]]</f>
        <v>0.48630136986301364</v>
      </c>
      <c r="BS46" s="914">
        <f>WWWW[[#This Row],[%equitable and continuous access to sufficient quantity of safe drinking and domestic water''s GAP]]*WWWW[[#This Row],[Total PoP ]]</f>
        <v>1419.9999999999998</v>
      </c>
      <c r="BT46" s="451">
        <f>ROUND(IF(WWWW[[#This Row],[Total PoP ]]&lt;500,1,WWWW[[#This Row],[Total PoP ]]/500),0)</f>
        <v>6</v>
      </c>
      <c r="BU46" s="912">
        <f>IF(WWWW[[#This Row],[Total required water points]]-WWWW[[#This Row],['#Water points coverage]]&lt;0,0,WWWW[[#This Row],[Total required water points]]-WWWW[[#This Row],['#Water points coverage]])</f>
        <v>2.9999999999999996</v>
      </c>
      <c r="BV46" s="452">
        <f>WWWW[[#This Row],[HRP2]]/WWWW[[#This Row],[Total PoP ]]</f>
        <v>1</v>
      </c>
      <c r="BW46"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46" s="455">
        <f>IF(WWWW[[#This Row],['#_Functional_adult_latrines]]="","",WWWW[[#This Row],[Total PoP ]]/WWWW[[#This Row],['#_Functional_adult_latrines]])</f>
        <v>4.5482866043613708</v>
      </c>
      <c r="BY46" s="912">
        <f>WWWW[[#This Row],['#_of_latrines_in_TLS/CFS]]*50</f>
        <v>200</v>
      </c>
      <c r="BZ46" s="451">
        <f>IF(WWWW[[#This Row],['#_of_latrines_in_THF]]="",0,WWWW[[#This Row],['#_of_latrines_in_THF]]*50)</f>
        <v>50</v>
      </c>
      <c r="CA46" s="912">
        <f>ROUND(IF(WWWW[[#This Row],[Location Type 1]]="camp",WWWW[[#This Row],[Total PoP ]]/20),0)</f>
        <v>146</v>
      </c>
      <c r="CB46" s="912">
        <f>IF(WWWW[[#This Row],[Total required Latrines]]-WWWW[[#This Row],['#_Existing_latrines]]&lt;0,0,WWWW[[#This Row],[Total required Latrines]]-WWWW[[#This Row],['#_Existing_latrines]])</f>
        <v>0</v>
      </c>
      <c r="CC46" s="915">
        <f>1-WWWW[[#This Row],[% HRP2]]</f>
        <v>0</v>
      </c>
      <c r="CD46" s="911">
        <f>IF(WWWW[[#This Row],['#_Existing_latrines]]="","NA",(WWWW[[#This Row],['#_Existing_latrines]]-WWWW[[#This Row],['#_Functional_adult_latrines]])/WWWW[[#This Row],['#_Existing_latrines]])</f>
        <v>0</v>
      </c>
      <c r="CE46"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46"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46" s="912">
        <f>IF(WWWW[[#This Row],['#_of_affected_women_and_girls_receiving_a_sufficient_quantity_of_sanitary_pads]]&gt;WWWW[[#This Row],[Total PoP ]],WWWW[[#This Row],[Total PoP ]],WWWW[[#This Row],['#_of_affected_women_and_girls_receiving_a_sufficient_quantity_of_sanitary_pads]])</f>
        <v>0</v>
      </c>
      <c r="CH46" s="912">
        <f>IF(WWWW[[#This Row],['# People with access to soap]]&gt;WWWW[[#This Row],['# People with access to Sanity Pads]],WWWW[[#This Row],['# People with access to soap]],WWWW[[#This Row],['# People with access to Sanity Pads]])</f>
        <v>0</v>
      </c>
      <c r="CI46" s="9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J46" s="915">
        <f>IF(WWWW[[#This Row],[HRP3]]/WWWW[[#This Row],[Total PoP ]]&gt;100%,100%,WWWW[[#This Row],[HRP3]]/WWWW[[#This Row],[Total PoP ]])</f>
        <v>0</v>
      </c>
      <c r="CK46" s="911">
        <f>1-WWWW[[#This Row],[Hygiene Coverage%]]</f>
        <v>1</v>
      </c>
      <c r="CL46" s="907">
        <f>WWWW[[#This Row],['# people reached by regular dedicated hygiene promotion_5]]/WWWW[[#This Row],[Total PoP ]]</f>
        <v>0</v>
      </c>
      <c r="CM46" s="911">
        <f>IF(WWWW[[#This Row],['#_of_affected_households_receiving_a_sufficient_quantity_of_soap]]/WWWW[[#This Row],[Total HH]]&gt;1,1,WWWW[[#This Row],['#_of_affected_households_receiving_a_sufficient_quantity_of_soap]]/WWWW[[#This Row],[Total HH]])</f>
        <v>0</v>
      </c>
      <c r="CN46" s="455" t="str">
        <f>IF(WWWW[[#This Row],['#_students at TLS_CFS]]="","No","Yes")</f>
        <v>No</v>
      </c>
      <c r="CO46" s="452">
        <f>WWWW[[#This Row],[%_of_affected_people_surveyed_who_report_feeling_informed_about_the_different_WASH_services_available_to_them]]</f>
        <v>0</v>
      </c>
      <c r="CP4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6" s="500">
        <f>IF(WWWW[[#This Row],['#_PPL_accessed_water_in_TLS]]&gt;WWWW[[#This Row],['# students access to functioning school latrines_HRP5]],WWWW[[#This Row],['#_PPL_accessed_water_in_TLS]],WWWW[[#This Row],['# students access to functioning school latrines_HRP5]])</f>
        <v>200</v>
      </c>
      <c r="CR46" s="500">
        <f>IF(WWWW[[#This Row],['#_PPL_accessed_water_in_THF]]&gt;WWWW[[#This Row],['# people access to functioning latrines in THF_HRP6]],WWWW[[#This Row],['#_PPL_accessed_water_in_THF]],WWWW[[#This Row],['# people access to functioning latrines in THF_HRP6]])</f>
        <v>50</v>
      </c>
      <c r="CS46" s="903" t="str">
        <f>VLOOKUP(WWWW[[#This Row],[Site Name]],SiteDB6[[Site Name]:[CCCM Management]],6,FALSE)</f>
        <v>Yes</v>
      </c>
      <c r="CT46" s="903" t="str">
        <f>VLOOKUP(WWWW[[#This Row],[Site Name]],SiteDB6[[Site Name]:[CCCM Focal Agency]],7,FALSE)</f>
        <v>RI</v>
      </c>
      <c r="CU46" s="903" t="str">
        <f>VLOOKUP(WWWW[[#This Row],[Site Name]],SiteDB6[[Site Name]:[Location Type 1]],9,FALSE)</f>
        <v>Camp</v>
      </c>
      <c r="CV46" s="903" t="str">
        <f>VLOOKUP(WWWW[[#This Row],[Site Name]],SiteDB6[[Site Name]:[Type of Accommodation]],10,FALSE)</f>
        <v>Planned Camp</v>
      </c>
      <c r="CW46" s="903" t="str">
        <f>VLOOKUP(WWWW[[#This Row],[Site Name]],SiteDB6[[Site Name]:[Ethnic or GCA/NGCA]],11,FALSE)</f>
        <v>Muslim</v>
      </c>
      <c r="CX46" s="903">
        <f>VLOOKUP(WWWW[[#This Row],[Site Name]],SiteDB6[[Site Name]:[Lat]],12,FALSE)</f>
        <v>20.037655000000001</v>
      </c>
      <c r="CY46" s="903">
        <f>VLOOKUP(WWWW[[#This Row],[Site Name]],SiteDB6[[Site Name]:[Long]],13,FALSE)</f>
        <v>93.370037999999994</v>
      </c>
      <c r="CZ46" s="903" t="str">
        <f>VLOOKUP(WWWW[[#This Row],[Site Name]],SiteDB6[[Site Name]:[Pcode]],3,FALSE)</f>
        <v>MMR012CMP014</v>
      </c>
      <c r="DA46" s="916" t="str">
        <f t="shared" si="1"/>
        <v>Covered</v>
      </c>
      <c r="DB46" s="477">
        <f>VLOOKUP(WWWW[[#This Row],[Site Name]],SiteDB6[[Site Name]:[PWD_Total]],22,FALSE)</f>
        <v>73</v>
      </c>
      <c r="DC46" s="477">
        <f>VLOOKUP(WWWW[[#This Row],[Site Name]],SiteDB6[[Site Name]:[PWD_Total]],23,FALSE)</f>
        <v>318</v>
      </c>
      <c r="DD46" s="477">
        <f>WWWW[[#This Row],['# of Male_People with disabilities]]+WWWW[[#This Row],['# of Female_People with disabilities]]</f>
        <v>391</v>
      </c>
      <c r="DE46" s="903"/>
      <c r="DF46" s="916"/>
      <c r="DG46" s="916"/>
      <c r="DH46" s="916"/>
      <c r="DI46" s="916">
        <f>VLOOKUP(WWWW[[#This Row],[Site Name]],SiteDB6[[Site Name]:[Pop
(CCCM as of Autust 2021)]],16,FALSE)</f>
        <v>747</v>
      </c>
      <c r="DJ46" s="916">
        <f>VLOOKUP(WWWW[[#This Row],[Site Name]],SiteDB6[[Site Name]:[Pop
(CCCM as of Autust 2021)]],17,FALSE)</f>
        <v>3495</v>
      </c>
    </row>
    <row r="47" spans="1:114">
      <c r="A47" s="896" t="s">
        <v>3145</v>
      </c>
      <c r="B47" s="901" t="s">
        <v>2270</v>
      </c>
      <c r="C47" s="902" t="s">
        <v>2270</v>
      </c>
      <c r="D47" s="902" t="s">
        <v>3187</v>
      </c>
      <c r="E47" s="856" t="s">
        <v>293</v>
      </c>
      <c r="F47" s="902" t="s">
        <v>294</v>
      </c>
      <c r="G47" s="857" t="s">
        <v>43</v>
      </c>
      <c r="H47" s="902" t="s">
        <v>421</v>
      </c>
      <c r="I47" s="904">
        <v>1139</v>
      </c>
      <c r="J47" s="904">
        <v>6016</v>
      </c>
      <c r="K47" s="684">
        <f>WWWW[[#This Row],[Total PoP ]]/WWWW[[#This Row],[Total HH]]</f>
        <v>5.2818261633011412</v>
      </c>
      <c r="L47" s="905">
        <v>44652</v>
      </c>
      <c r="M47" s="906">
        <v>44834</v>
      </c>
      <c r="N47" s="904"/>
      <c r="O47" s="500">
        <v>38</v>
      </c>
      <c r="P47" s="904">
        <v>40</v>
      </c>
      <c r="Q47" s="500"/>
      <c r="R47" s="500"/>
      <c r="S47" s="904"/>
      <c r="T47" s="904"/>
      <c r="U47" s="904"/>
      <c r="V47" s="907"/>
      <c r="W47" s="904"/>
      <c r="X47" s="907"/>
      <c r="Y47" s="904"/>
      <c r="Z47" s="500"/>
      <c r="AA47" s="500"/>
      <c r="AB47" s="908"/>
      <c r="AC47" s="904">
        <v>222</v>
      </c>
      <c r="AD47" s="904">
        <v>253</v>
      </c>
      <c r="AE47" s="904">
        <v>158</v>
      </c>
      <c r="AF47" s="904">
        <v>101</v>
      </c>
      <c r="AG47" s="907">
        <v>1</v>
      </c>
      <c r="AH47" s="907">
        <v>0.97</v>
      </c>
      <c r="AI47" s="907">
        <v>0.77</v>
      </c>
      <c r="AJ47" s="904"/>
      <c r="AK47" s="904"/>
      <c r="AL47" s="904"/>
      <c r="AM47" s="500"/>
      <c r="AN47" s="904" t="s">
        <v>41</v>
      </c>
      <c r="AO47" s="909" t="s">
        <v>3193</v>
      </c>
      <c r="AP47" s="904">
        <v>18</v>
      </c>
      <c r="AQ47" s="904">
        <v>140</v>
      </c>
      <c r="AR47" s="904">
        <v>29</v>
      </c>
      <c r="AS47" s="904">
        <v>20</v>
      </c>
      <c r="AT47" s="904">
        <v>1139</v>
      </c>
      <c r="AU47" s="904">
        <v>2278</v>
      </c>
      <c r="AV47" s="450">
        <v>0.94</v>
      </c>
      <c r="AW47" s="907">
        <v>1</v>
      </c>
      <c r="AX47" s="451"/>
      <c r="AY47" s="910" t="s">
        <v>3193</v>
      </c>
      <c r="AZ47" s="450">
        <v>1</v>
      </c>
      <c r="BA47" s="450">
        <v>1</v>
      </c>
      <c r="BB47" s="450">
        <v>1</v>
      </c>
      <c r="BC47" s="450">
        <v>0.9</v>
      </c>
      <c r="BD47" s="450"/>
      <c r="BE47" s="500">
        <v>253</v>
      </c>
      <c r="BF47" s="500"/>
      <c r="BG47" s="500"/>
      <c r="BH47" s="500"/>
      <c r="BI47" s="500"/>
      <c r="BJ47" s="500"/>
      <c r="BK47" s="500"/>
      <c r="BL47" s="911" t="str">
        <f>IF(WWWW[[#This Row],['#_Water samples_Tested_at_water_source]]="","no test","Tested")</f>
        <v>no test</v>
      </c>
      <c r="BM47" s="911" t="str">
        <f>IF(WWWW[[#This Row],['#_Water samples_Tested_at_HH]]="","no test","Tested")</f>
        <v>no test</v>
      </c>
      <c r="BN47" s="912" t="str">
        <f>IF(AND(WWWW[[#This Row],[Water_testing_at source]]="no test",WWWW[[#This Row],[Water_testing_at HH]]="no test"),"No Test","Tested")</f>
        <v>No Test</v>
      </c>
      <c r="BO47"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7" s="913">
        <f>WWWW[[#This Row],[% HRP1]]*WWWW[[#This Row],[Total PoP ]]</f>
        <v>6016</v>
      </c>
      <c r="BQ47" s="914">
        <f>WWWW[[#This Row],[HRP1]]/500</f>
        <v>12.032</v>
      </c>
      <c r="BR47" s="915">
        <f>1-WWWW[[#This Row],[% HRP1]]</f>
        <v>0</v>
      </c>
      <c r="BS47" s="914">
        <f>WWWW[[#This Row],[%equitable and continuous access to sufficient quantity of safe drinking and domestic water''s GAP]]*WWWW[[#This Row],[Total PoP ]]</f>
        <v>0</v>
      </c>
      <c r="BT47" s="451">
        <f>ROUND(IF(WWWW[[#This Row],[Total PoP ]]&lt;500,1,WWWW[[#This Row],[Total PoP ]]/500),0)</f>
        <v>12</v>
      </c>
      <c r="BU47" s="912">
        <f>IF(WWWW[[#This Row],[Total required water points]]-WWWW[[#This Row],['#Water points coverage]]&lt;0,0,WWWW[[#This Row],[Total required water points]]-WWWW[[#This Row],['#Water points coverage]])</f>
        <v>0</v>
      </c>
      <c r="BV47" s="452">
        <f>WWWW[[#This Row],[HRP2]]/WWWW[[#This Row],[Total PoP ]]</f>
        <v>0.73803191489361697</v>
      </c>
      <c r="BW47"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4440</v>
      </c>
      <c r="BX47" s="455">
        <f>IF(WWWW[[#This Row],['#_Functional_adult_latrines]]="","",WWWW[[#This Row],[Total PoP ]]/WWWW[[#This Row],['#_Functional_adult_latrines]])</f>
        <v>27.099099099099099</v>
      </c>
      <c r="BY47" s="912">
        <f>WWWW[[#This Row],['#_of_latrines_in_TLS/CFS]]*50</f>
        <v>0</v>
      </c>
      <c r="BZ47" s="451">
        <f>IF(WWWW[[#This Row],['#_of_latrines_in_THF]]="",0,WWWW[[#This Row],['#_of_latrines_in_THF]]*50)</f>
        <v>0</v>
      </c>
      <c r="CA47" s="912">
        <f>ROUND(IF(WWWW[[#This Row],[Location Type 1]]="camp",WWWW[[#This Row],[Total PoP ]]/20),0)</f>
        <v>301</v>
      </c>
      <c r="CB47" s="912">
        <f>IF(WWWW[[#This Row],[Total required Latrines]]-WWWW[[#This Row],['#_Existing_latrines]]&lt;0,0,WWWW[[#This Row],[Total required Latrines]]-WWWW[[#This Row],['#_Existing_latrines]])</f>
        <v>48</v>
      </c>
      <c r="CC47" s="915">
        <f>1-WWWW[[#This Row],[% HRP2]]</f>
        <v>0.26196808510638303</v>
      </c>
      <c r="CD47" s="911">
        <f>IF(WWWW[[#This Row],['#_Existing_latrines]]="","NA",(WWWW[[#This Row],['#_Existing_latrines]]-WWWW[[#This Row],['#_Functional_adult_latrines]])/WWWW[[#This Row],['#_Existing_latrines]])</f>
        <v>0.1225296442687747</v>
      </c>
      <c r="CE47"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207</v>
      </c>
      <c r="CF47"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6016</v>
      </c>
      <c r="CG47" s="912">
        <f>IF(WWWW[[#This Row],['#_of_affected_women_and_girls_receiving_a_sufficient_quantity_of_sanitary_pads]]&gt;WWWW[[#This Row],[Total PoP ]],WWWW[[#This Row],[Total PoP ]],WWWW[[#This Row],['#_of_affected_women_and_girls_receiving_a_sufficient_quantity_of_sanitary_pads]])</f>
        <v>2278</v>
      </c>
      <c r="CH47" s="912">
        <f>IF(WWWW[[#This Row],['# People with access to soap]]&gt;WWWW[[#This Row],['# People with access to Sanity Pads]],WWWW[[#This Row],['# People with access to soap]],WWWW[[#This Row],['# People with access to Sanity Pads]])</f>
        <v>6016</v>
      </c>
      <c r="CI47" s="912">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J47" s="915">
        <f>IF(WWWW[[#This Row],[HRP3]]/WWWW[[#This Row],[Total PoP ]]&gt;100%,100%,WWWW[[#This Row],[HRP3]]/WWWW[[#This Row],[Total PoP ]])</f>
        <v>1</v>
      </c>
      <c r="CK47" s="911">
        <f>1-WWWW[[#This Row],[Hygiene Coverage%]]</f>
        <v>0</v>
      </c>
      <c r="CL47" s="907">
        <f>WWWW[[#This Row],['# people reached by regular dedicated hygiene promotion_5]]/WWWW[[#This Row],[Total PoP ]]</f>
        <v>3.4408244680851061E-2</v>
      </c>
      <c r="CM47" s="911">
        <f>IF(WWWW[[#This Row],['#_of_affected_households_receiving_a_sufficient_quantity_of_soap]]/WWWW[[#This Row],[Total HH]]&gt;1,1,WWWW[[#This Row],['#_of_affected_households_receiving_a_sufficient_quantity_of_soap]]/WWWW[[#This Row],[Total HH]])</f>
        <v>1</v>
      </c>
      <c r="CN47" s="455" t="str">
        <f>IF(WWWW[[#This Row],['#_students at TLS_CFS]]="","No","Yes")</f>
        <v>No</v>
      </c>
      <c r="CO47" s="452">
        <f>WWWW[[#This Row],[%_of_affected_people_surveyed_who_report_feeling_informed_about_the_different_WASH_services_available_to_them]]</f>
        <v>1</v>
      </c>
      <c r="CP4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253</v>
      </c>
      <c r="CQ47" s="500">
        <f>IF(WWWW[[#This Row],['#_PPL_accessed_water_in_TLS]]&gt;WWWW[[#This Row],['# students access to functioning school latrines_HRP5]],WWWW[[#This Row],['#_PPL_accessed_water_in_TLS]],WWWW[[#This Row],['# students access to functioning school latrines_HRP5]])</f>
        <v>0</v>
      </c>
      <c r="CR47" s="500">
        <f>IF(WWWW[[#This Row],['#_PPL_accessed_water_in_THF]]&gt;WWWW[[#This Row],['# people access to functioning latrines in THF_HRP6]],WWWW[[#This Row],['#_PPL_accessed_water_in_THF]],WWWW[[#This Row],['# people access to functioning latrines in THF_HRP6]])</f>
        <v>0</v>
      </c>
      <c r="CS47" s="903" t="str">
        <f>VLOOKUP(WWWW[[#This Row],[Site Name]],SiteDB6[[Site Name]:[CCCM Management]],6,FALSE)</f>
        <v>Yes</v>
      </c>
      <c r="CT47" s="903">
        <f>VLOOKUP(WWWW[[#This Row],[Site Name]],SiteDB6[[Site Name]:[CCCM Focal Agency]],7,FALSE)</f>
        <v>0</v>
      </c>
      <c r="CU47" s="903" t="str">
        <f>VLOOKUP(WWWW[[#This Row],[Site Name]],SiteDB6[[Site Name]:[Location Type 1]],9,FALSE)</f>
        <v>Camp</v>
      </c>
      <c r="CV47" s="903" t="str">
        <f>VLOOKUP(WWWW[[#This Row],[Site Name]],SiteDB6[[Site Name]:[Type of Accommodation]],10,FALSE)</f>
        <v>Self Settled Camp</v>
      </c>
      <c r="CW47" s="903" t="str">
        <f>VLOOKUP(WWWW[[#This Row],[Site Name]],SiteDB6[[Site Name]:[Ethnic or GCA/NGCA]],11,FALSE)</f>
        <v>Muslim</v>
      </c>
      <c r="CX47" s="903">
        <f>VLOOKUP(WWWW[[#This Row],[Site Name]],SiteDB6[[Site Name]:[Lat]],12,FALSE)</f>
        <v>20.1585</v>
      </c>
      <c r="CY47" s="903">
        <f>VLOOKUP(WWWW[[#This Row],[Site Name]],SiteDB6[[Site Name]:[Long]],13,FALSE)</f>
        <v>92.839416999999997</v>
      </c>
      <c r="CZ47" s="903" t="str">
        <f>VLOOKUP(WWWW[[#This Row],[Site Name]],SiteDB6[[Site Name]:[Pcode]],3,FALSE)</f>
        <v>MMR012CMP046</v>
      </c>
      <c r="DA47" s="916" t="str">
        <f t="shared" si="1"/>
        <v>Covered</v>
      </c>
      <c r="DB47" s="477">
        <f>VLOOKUP(WWWW[[#This Row],[Site Name]],SiteDB6[[Site Name]:[PWD_Total]],22,FALSE)</f>
        <v>365</v>
      </c>
      <c r="DC47" s="477">
        <f>VLOOKUP(WWWW[[#This Row],[Site Name]],SiteDB6[[Site Name]:[PWD_Total]],23,FALSE)</f>
        <v>800</v>
      </c>
      <c r="DD47" s="477">
        <f>WWWW[[#This Row],['# of Male_People with disabilities]]+WWWW[[#This Row],['# of Female_People with disabilities]]</f>
        <v>1165</v>
      </c>
      <c r="DE47" s="903"/>
      <c r="DF47" s="916"/>
      <c r="DG47" s="916"/>
      <c r="DH47" s="916"/>
      <c r="DI47" s="916">
        <f>VLOOKUP(WWWW[[#This Row],[Site Name]],SiteDB6[[Site Name]:[Pop
(CCCM as of Autust 2021)]],16,FALSE)</f>
        <v>2062</v>
      </c>
      <c r="DJ47" s="916">
        <f>VLOOKUP(WWWW[[#This Row],[Site Name]],SiteDB6[[Site Name]:[Pop
(CCCM as of Autust 2021)]],17,FALSE)</f>
        <v>12522</v>
      </c>
    </row>
    <row r="48" spans="1:114">
      <c r="A48" s="896" t="s">
        <v>3145</v>
      </c>
      <c r="B48" s="901" t="s">
        <v>2620</v>
      </c>
      <c r="C48" s="901" t="s">
        <v>2620</v>
      </c>
      <c r="D48" s="902" t="s">
        <v>3187</v>
      </c>
      <c r="E48" s="856" t="s">
        <v>293</v>
      </c>
      <c r="F48" s="902" t="s">
        <v>294</v>
      </c>
      <c r="G48" s="857" t="s">
        <v>43</v>
      </c>
      <c r="H48" s="902" t="s">
        <v>425</v>
      </c>
      <c r="I48" s="904">
        <v>1013</v>
      </c>
      <c r="J48" s="904">
        <v>5950</v>
      </c>
      <c r="K48" s="684">
        <f>WWWW[[#This Row],[Total PoP ]]/WWWW[[#This Row],[Total HH]]</f>
        <v>5.8736426456071076</v>
      </c>
      <c r="L48" s="905">
        <v>44652</v>
      </c>
      <c r="M48" s="906">
        <v>44834</v>
      </c>
      <c r="N48" s="904"/>
      <c r="O48" s="500">
        <v>67</v>
      </c>
      <c r="P48" s="904">
        <v>69</v>
      </c>
      <c r="Q48" s="500"/>
      <c r="R48" s="500"/>
      <c r="S48" s="904"/>
      <c r="T48" s="904"/>
      <c r="U48" s="904">
        <v>8</v>
      </c>
      <c r="V48" s="907">
        <v>1</v>
      </c>
      <c r="W48" s="904"/>
      <c r="X48" s="907"/>
      <c r="Y48" s="904"/>
      <c r="Z48" s="500"/>
      <c r="AA48" s="500"/>
      <c r="AB48" s="908"/>
      <c r="AC48" s="904">
        <v>273</v>
      </c>
      <c r="AD48" s="904">
        <v>335</v>
      </c>
      <c r="AE48" s="904">
        <v>136</v>
      </c>
      <c r="AF48" s="904">
        <v>131</v>
      </c>
      <c r="AG48" s="907">
        <v>1</v>
      </c>
      <c r="AH48" s="907">
        <v>0.55000000000000004</v>
      </c>
      <c r="AI48" s="907">
        <v>0.62</v>
      </c>
      <c r="AJ48" s="904">
        <v>4</v>
      </c>
      <c r="AK48" s="904">
        <v>38</v>
      </c>
      <c r="AL48" s="904">
        <v>21</v>
      </c>
      <c r="AM48" s="500"/>
      <c r="AN48" s="904" t="s">
        <v>41</v>
      </c>
      <c r="AO48" s="909"/>
      <c r="AP48" s="904">
        <v>737</v>
      </c>
      <c r="AQ48" s="904">
        <v>1054</v>
      </c>
      <c r="AR48" s="904"/>
      <c r="AS48" s="904"/>
      <c r="AT48" s="904">
        <v>1312</v>
      </c>
      <c r="AU48" s="904">
        <v>2624</v>
      </c>
      <c r="AV48" s="450">
        <v>0.53</v>
      </c>
      <c r="AW48" s="907">
        <v>1</v>
      </c>
      <c r="AX48" s="451">
        <v>3</v>
      </c>
      <c r="AY48" s="910"/>
      <c r="AZ48" s="450">
        <v>0.86</v>
      </c>
      <c r="BA48" s="450">
        <v>0.9</v>
      </c>
      <c r="BB48" s="450">
        <v>1</v>
      </c>
      <c r="BC48" s="450">
        <v>1</v>
      </c>
      <c r="BD48" s="450"/>
      <c r="BE48" s="500"/>
      <c r="BF48" s="500"/>
      <c r="BG48" s="500"/>
      <c r="BH48" s="500"/>
      <c r="BI48" s="500"/>
      <c r="BJ48" s="500"/>
      <c r="BK48" s="500"/>
      <c r="BL48" s="911" t="str">
        <f>IF(WWWW[[#This Row],['#_Water samples_Tested_at_water_source]]="","no test","Tested")</f>
        <v>Tested</v>
      </c>
      <c r="BM48" s="911" t="str">
        <f>IF(WWWW[[#This Row],['#_Water samples_Tested_at_HH]]="","no test","Tested")</f>
        <v>no test</v>
      </c>
      <c r="BN48" s="912" t="str">
        <f>IF(AND(WWWW[[#This Row],[Water_testing_at source]]="no test",WWWW[[#This Row],[Water_testing_at HH]]="no test"),"No Test","Tested")</f>
        <v>Tested</v>
      </c>
      <c r="BO48" s="91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8" s="913">
        <f>WWWW[[#This Row],[% HRP1]]*WWWW[[#This Row],[Total PoP ]]</f>
        <v>5950</v>
      </c>
      <c r="BQ48" s="914">
        <f>WWWW[[#This Row],[HRP1]]/500</f>
        <v>11.9</v>
      </c>
      <c r="BR48" s="915">
        <f>1-WWWW[[#This Row],[% HRP1]]</f>
        <v>0</v>
      </c>
      <c r="BS48" s="914">
        <f>WWWW[[#This Row],[%equitable and continuous access to sufficient quantity of safe drinking and domestic water''s GAP]]*WWWW[[#This Row],[Total PoP ]]</f>
        <v>0</v>
      </c>
      <c r="BT48" s="451">
        <f>ROUND(IF(WWWW[[#This Row],[Total PoP ]]&lt;500,1,WWWW[[#This Row],[Total PoP ]]/500),0)</f>
        <v>12</v>
      </c>
      <c r="BU48" s="912">
        <f>IF(WWWW[[#This Row],[Total required water points]]-WWWW[[#This Row],['#Water points coverage]]&lt;0,0,WWWW[[#This Row],[Total required water points]]-WWWW[[#This Row],['#Water points coverage]])</f>
        <v>9.9999999999999645E-2</v>
      </c>
      <c r="BV48" s="452">
        <f>WWWW[[#This Row],[HRP2]]/WWWW[[#This Row],[Total PoP ]]</f>
        <v>0.93747899159663861</v>
      </c>
      <c r="BW48" s="91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5578</v>
      </c>
      <c r="BX48" s="455">
        <f>IF(WWWW[[#This Row],['#_Functional_adult_latrines]]="","",WWWW[[#This Row],[Total PoP ]]/WWWW[[#This Row],['#_Functional_adult_latrines]])</f>
        <v>21.794871794871796</v>
      </c>
      <c r="BY48" s="912">
        <f>WWWW[[#This Row],['#_of_latrines_in_TLS/CFS]]*50</f>
        <v>1050</v>
      </c>
      <c r="BZ48" s="451">
        <f>IF(WWWW[[#This Row],['#_of_latrines_in_THF]]="",0,WWWW[[#This Row],['#_of_latrines_in_THF]]*50)</f>
        <v>0</v>
      </c>
      <c r="CA48" s="912">
        <f>ROUND(IF(WWWW[[#This Row],[Location Type 1]]="camp",WWWW[[#This Row],[Total PoP ]]/20),0)</f>
        <v>298</v>
      </c>
      <c r="CB48" s="912">
        <f>IF(WWWW[[#This Row],[Total required Latrines]]-WWWW[[#This Row],['#_Existing_latrines]]&lt;0,0,WWWW[[#This Row],[Total required Latrines]]-WWWW[[#This Row],['#_Existing_latrines]])</f>
        <v>0</v>
      </c>
      <c r="CC48" s="915">
        <f>1-WWWW[[#This Row],[% HRP2]]</f>
        <v>6.2521008403361389E-2</v>
      </c>
      <c r="CD48" s="911">
        <f>IF(WWWW[[#This Row],['#_Existing_latrines]]="","NA",(WWWW[[#This Row],['#_Existing_latrines]]-WWWW[[#This Row],['#_Functional_adult_latrines]])/WWWW[[#This Row],['#_Existing_latrines]])</f>
        <v>0.18507462686567164</v>
      </c>
      <c r="CE48" s="91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1791</v>
      </c>
      <c r="CF48" s="91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G48" s="912">
        <f>IF(WWWW[[#This Row],['#_of_affected_women_and_girls_receiving_a_sufficient_quantity_of_sanitary_pads]]&gt;WWWW[[#This Row],[Total PoP ]],WWWW[[#This Row],[Total PoP ]],WWWW[[#This Row],['#_of_affected_women_and_girls_receiving_a_sufficient_quantity_of_sanitary_pads]])</f>
        <v>2624</v>
      </c>
      <c r="CH48" s="912">
        <f>IF(WWWW[[#This Row],['# People with access to soap]]&gt;WWWW[[#This Row],['# People with access to Sanity Pads]],WWWW[[#This Row],['# People with access to soap]],WWWW[[#This Row],['# People with access to Sanity Pads]])</f>
        <v>5950</v>
      </c>
      <c r="CI48" s="912">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J48" s="915">
        <f>IF(WWWW[[#This Row],[HRP3]]/WWWW[[#This Row],[Total PoP ]]&gt;100%,100%,WWWW[[#This Row],[HRP3]]/WWWW[[#This Row],[Total PoP ]])</f>
        <v>1</v>
      </c>
      <c r="CK48" s="911">
        <f>1-WWWW[[#This Row],[Hygiene Coverage%]]</f>
        <v>0</v>
      </c>
      <c r="CL48" s="907">
        <f>WWWW[[#This Row],['# people reached by regular dedicated hygiene promotion_5]]/WWWW[[#This Row],[Total PoP ]]</f>
        <v>0.30100840336134455</v>
      </c>
      <c r="CM48" s="911">
        <f>IF(WWWW[[#This Row],['#_of_affected_households_receiving_a_sufficient_quantity_of_soap]]/WWWW[[#This Row],[Total HH]]&gt;1,1,WWWW[[#This Row],['#_of_affected_households_receiving_a_sufficient_quantity_of_soap]]/WWWW[[#This Row],[Total HH]])</f>
        <v>1</v>
      </c>
      <c r="CN48" s="455" t="str">
        <f>IF(WWWW[[#This Row],['#_students at TLS_CFS]]="","No","Yes")</f>
        <v>No</v>
      </c>
      <c r="CO48" s="452">
        <f>WWWW[[#This Row],[%_of_affected_people_surveyed_who_report_feeling_informed_about_the_different_WASH_services_available_to_them]]</f>
        <v>1</v>
      </c>
      <c r="CP4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8" s="500">
        <f>IF(WWWW[[#This Row],['#_PPL_accessed_water_in_TLS]]&gt;WWWW[[#This Row],['# students access to functioning school latrines_HRP5]],WWWW[[#This Row],['#_PPL_accessed_water_in_TLS]],WWWW[[#This Row],['# students access to functioning school latrines_HRP5]])</f>
        <v>1050</v>
      </c>
      <c r="CR48" s="500">
        <f>IF(WWWW[[#This Row],['#_PPL_accessed_water_in_THF]]&gt;WWWW[[#This Row],['# people access to functioning latrines in THF_HRP6]],WWWW[[#This Row],['#_PPL_accessed_water_in_THF]],WWWW[[#This Row],['# people access to functioning latrines in THF_HRP6]])</f>
        <v>0</v>
      </c>
      <c r="CS48" s="903" t="str">
        <f>VLOOKUP(WWWW[[#This Row],[Site Name]],SiteDB6[[Site Name]:[CCCM Management]],6,FALSE)</f>
        <v>Yes</v>
      </c>
      <c r="CT48" s="903">
        <f>VLOOKUP(WWWW[[#This Row],[Site Name]],SiteDB6[[Site Name]:[CCCM Focal Agency]],7,FALSE)</f>
        <v>0</v>
      </c>
      <c r="CU48" s="903" t="str">
        <f>VLOOKUP(WWWW[[#This Row],[Site Name]],SiteDB6[[Site Name]:[Location Type 1]],9,FALSE)</f>
        <v>Camp</v>
      </c>
      <c r="CV48" s="903" t="str">
        <f>VLOOKUP(WWWW[[#This Row],[Site Name]],SiteDB6[[Site Name]:[Type of Accommodation]],10,FALSE)</f>
        <v>Planned Camp</v>
      </c>
      <c r="CW48" s="903" t="str">
        <f>VLOOKUP(WWWW[[#This Row],[Site Name]],SiteDB6[[Site Name]:[Ethnic or GCA/NGCA]],11,FALSE)</f>
        <v>Muslim</v>
      </c>
      <c r="CX48" s="903">
        <f>VLOOKUP(WWWW[[#This Row],[Site Name]],SiteDB6[[Site Name]:[Lat]],12,FALSE)</f>
        <v>20.179939999999998</v>
      </c>
      <c r="CY48" s="903">
        <f>VLOOKUP(WWWW[[#This Row],[Site Name]],SiteDB6[[Site Name]:[Long]],13,FALSE)</f>
        <v>92.831879000000001</v>
      </c>
      <c r="CZ48" s="903" t="str">
        <f>VLOOKUP(WWWW[[#This Row],[Site Name]],SiteDB6[[Site Name]:[Pcode]],3,FALSE)</f>
        <v>MMR012CMP048</v>
      </c>
      <c r="DA48" s="916" t="str">
        <f t="shared" si="1"/>
        <v>Covered</v>
      </c>
      <c r="DB48" s="477">
        <f>VLOOKUP(WWWW[[#This Row],[Site Name]],SiteDB6[[Site Name]:[PWD_Total]],22,FALSE)</f>
        <v>250</v>
      </c>
      <c r="DC48" s="477">
        <f>VLOOKUP(WWWW[[#This Row],[Site Name]],SiteDB6[[Site Name]:[PWD_Total]],23,FALSE)</f>
        <v>699</v>
      </c>
      <c r="DD48" s="477">
        <f>WWWW[[#This Row],['# of Male_People with disabilities]]+WWWW[[#This Row],['# of Female_People with disabilities]]</f>
        <v>949</v>
      </c>
      <c r="DE48" s="903"/>
      <c r="DF48" s="916"/>
      <c r="DG48" s="916"/>
      <c r="DH48" s="916"/>
      <c r="DI48" s="916">
        <f>VLOOKUP(WWWW[[#This Row],[Site Name]],SiteDB6[[Site Name]:[Pop
(CCCM as of Autust 2021)]],16,FALSE)</f>
        <v>1019</v>
      </c>
      <c r="DJ48" s="916">
        <f>VLOOKUP(WWWW[[#This Row],[Site Name]],SiteDB6[[Site Name]:[Pop
(CCCM as of Autust 2021)]],17,FALSE)</f>
        <v>6906</v>
      </c>
    </row>
    <row r="50" spans="19:35">
      <c r="S50" s="33"/>
      <c r="AC50" s="917"/>
    </row>
    <row r="51" spans="19:35">
      <c r="S51" s="33"/>
      <c r="AC51" s="917"/>
      <c r="AI51" s="32"/>
    </row>
    <row r="52" spans="19:35">
      <c r="S52" s="33"/>
      <c r="AI52" s="32"/>
    </row>
    <row r="53" spans="19:35">
      <c r="S53" s="33"/>
      <c r="AI53" s="32"/>
    </row>
  </sheetData>
  <mergeCells count="20">
    <mergeCell ref="B1:D1"/>
    <mergeCell ref="E1:H1"/>
    <mergeCell ref="BY2:BY3"/>
    <mergeCell ref="BW2:BW3"/>
    <mergeCell ref="BR2:BS3"/>
    <mergeCell ref="BT2:BU2"/>
    <mergeCell ref="DI5:DJ5"/>
    <mergeCell ref="DF4:DH4"/>
    <mergeCell ref="CD2:CD3"/>
    <mergeCell ref="CA2:CA3"/>
    <mergeCell ref="CB2:CC3"/>
    <mergeCell ref="BL5:BN5"/>
    <mergeCell ref="BR5:BS5"/>
    <mergeCell ref="L1:M1"/>
    <mergeCell ref="BL2:BN3"/>
    <mergeCell ref="BO2:BO3"/>
    <mergeCell ref="BP2:BP3"/>
    <mergeCell ref="BE1:BG1"/>
    <mergeCell ref="AZ1:BC1"/>
    <mergeCell ref="BQ2:BQ3"/>
  </mergeCells>
  <phoneticPr fontId="147" type="noConversion"/>
  <conditionalFormatting sqref="CK2 CE2">
    <cfRule type="iconSet" priority="196">
      <iconSet reverse="1">
        <cfvo type="percent" val="0"/>
        <cfvo type="percent" val="0" gte="0"/>
        <cfvo type="percent" val="30"/>
      </iconSet>
    </cfRule>
  </conditionalFormatting>
  <conditionalFormatting sqref="CE5">
    <cfRule type="iconSet" priority="44">
      <iconSet reverse="1">
        <cfvo type="percent" val="0"/>
        <cfvo type="percent" val="0" gte="0"/>
        <cfvo type="percent" val="30"/>
      </iconSet>
    </cfRule>
  </conditionalFormatting>
  <conditionalFormatting sqref="CK4">
    <cfRule type="iconSet" priority="41">
      <iconSet reverse="1">
        <cfvo type="percent" val="0"/>
        <cfvo type="percent" val="0" gte="0"/>
        <cfvo type="percent" val="30"/>
      </iconSet>
    </cfRule>
  </conditionalFormatting>
  <conditionalFormatting sqref="BR4">
    <cfRule type="iconSet" priority="43">
      <iconSet reverse="1">
        <cfvo type="percent" val="0"/>
        <cfvo type="percent" val="0" gte="0"/>
        <cfvo type="percent" val="30"/>
      </iconSet>
    </cfRule>
  </conditionalFormatting>
  <conditionalFormatting sqref="CC4">
    <cfRule type="iconSet" priority="11732">
      <iconSet reverse="1">
        <cfvo type="percent" val="0"/>
        <cfvo type="percent" val="0" gte="0"/>
        <cfvo type="percent" val="30"/>
      </iconSet>
    </cfRule>
  </conditionalFormatting>
  <conditionalFormatting sqref="CD5 BY5:BZ5">
    <cfRule type="iconSet" priority="11752">
      <iconSet reverse="1">
        <cfvo type="percent" val="0"/>
        <cfvo type="percent" val="0" gte="0"/>
        <cfvo type="percent" val="10"/>
      </iconSet>
    </cfRule>
  </conditionalFormatting>
  <conditionalFormatting sqref="BS4">
    <cfRule type="iconSet" priority="34">
      <iconSet reverse="1">
        <cfvo type="percent" val="0"/>
        <cfvo type="percent" val="0" gte="0"/>
        <cfvo type="percent" val="30"/>
      </iconSet>
    </cfRule>
  </conditionalFormatting>
  <conditionalFormatting sqref="BT4">
    <cfRule type="iconSet" priority="30">
      <iconSet reverse="1">
        <cfvo type="percent" val="0"/>
        <cfvo type="percent" val="0" gte="0"/>
        <cfvo type="percent" val="30"/>
      </iconSet>
    </cfRule>
  </conditionalFormatting>
  <conditionalFormatting sqref="CK3">
    <cfRule type="iconSet" priority="12241">
      <iconSet reverse="1">
        <cfvo type="percent" val="0"/>
        <cfvo type="percent" val="0" gte="0"/>
        <cfvo type="percent" val="30"/>
      </iconSet>
    </cfRule>
  </conditionalFormatting>
  <conditionalFormatting sqref="DM7:DM1048576">
    <cfRule type="iconSet" priority="12285">
      <iconSet reverse="1">
        <cfvo type="percent" val="0"/>
        <cfvo type="percent" val="0" gte="0"/>
        <cfvo type="percent" val="30"/>
      </iconSet>
    </cfRule>
  </conditionalFormatting>
  <conditionalFormatting sqref="BU4">
    <cfRule type="iconSet" priority="12460">
      <iconSet reverse="1">
        <cfvo type="percent" val="0"/>
        <cfvo type="percent" val="0" gte="0"/>
        <cfvo type="percent" val="30"/>
      </iconSet>
    </cfRule>
  </conditionalFormatting>
  <conditionalFormatting sqref="BR7:BR48">
    <cfRule type="iconSet" priority="12624">
      <iconSet reverse="1">
        <cfvo type="percent" val="0"/>
        <cfvo type="num" val="0" gte="0"/>
        <cfvo type="num" val="0.3"/>
      </iconSet>
    </cfRule>
  </conditionalFormatting>
  <conditionalFormatting sqref="CC7:CC48">
    <cfRule type="iconSet" priority="12626">
      <iconSet reverse="1">
        <cfvo type="percent" val="0"/>
        <cfvo type="num" val="0" gte="0"/>
        <cfvo type="num" val="0.3"/>
      </iconSet>
    </cfRule>
  </conditionalFormatting>
  <conditionalFormatting sqref="CK7:CK48">
    <cfRule type="iconSet" priority="12628">
      <iconSet reverse="1">
        <cfvo type="percent" val="0"/>
        <cfvo type="num" val="0" gte="0"/>
        <cfvo type="num" val="0.3"/>
      </iconSet>
    </cfRule>
  </conditionalFormatting>
  <dataValidations count="7">
    <dataValidation type="list" allowBlank="1" showInputMessage="1" showErrorMessage="1" sqref="E7:E48" xr:uid="{C2D5BC16-667D-40AF-86C5-33FBB3A67832}">
      <formula1>"Kachin, Rakhine, Shan (North)"</formula1>
    </dataValidation>
    <dataValidation type="list" allowBlank="1" showInputMessage="1" showErrorMessage="1" sqref="F7:F48" xr:uid="{00000000-0002-0000-0200-00000B000000}">
      <formula1>OFFSET(Statestart_1,MATCH(E7, State_list, 0), 1,COUNTIF(State_list,E7),1)</formula1>
    </dataValidation>
    <dataValidation type="list" allowBlank="1" showInputMessage="1" showErrorMessage="1" sqref="H7:H48" xr:uid="{0421B108-C2E1-4520-AC78-3A68D881D6E4}">
      <formula1>OFFSET(Township_start,MATCH(F7,Township_list, 0),1, COUNTIF(Township_list,F7),1)</formula1>
    </dataValidation>
    <dataValidation type="list" allowBlank="1" showInputMessage="1" showErrorMessage="1" sqref="E49:F1048576 H49:H1048576 C49:C1048576" xr:uid="{00000000-0002-0000-0200-000000000000}">
      <formula1>#REF!</formula1>
    </dataValidation>
    <dataValidation type="list" allowBlank="1" showInputMessage="1" showErrorMessage="1" sqref="AN7:AN48" xr:uid="{00000000-0002-0000-0200-000003000000}">
      <formula1>"Yes,No"</formula1>
    </dataValidation>
    <dataValidation type="whole" operator="lessThan" allowBlank="1" showInputMessage="1" showErrorMessage="1" sqref="N7:N48" xr:uid="{00000000-0002-0000-0200-000005000000}">
      <formula1>999999</formula1>
    </dataValidation>
    <dataValidation type="list" allowBlank="1" showInputMessage="1" showErrorMessage="1" sqref="DA7:DA48" xr:uid="{00000000-0002-0000-0200-000002000000}">
      <formula1>"Covered, Not_covered"</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B7:C48</xm:sqref>
        </x14:dataValidation>
        <x14:dataValidation type="list" allowBlank="1" showInputMessage="1" showErrorMessage="1" xr:uid="{00000000-0002-0000-0200-00000E000000}">
          <x14:formula1>
            <xm:f>Lookup!$A$4:$A$15</xm:f>
          </x14:formula1>
          <xm:sqref>A7:A48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S296" activePane="bottomRight" state="frozen"/>
      <selection pane="topRight" activeCell="D1" sqref="D1"/>
      <selection pane="bottomLeft" activeCell="A296" sqref="A296"/>
      <selection pane="bottomRight" activeCell="W1117" sqref="W1117"/>
    </sheetView>
  </sheetViews>
  <sheetFormatPr defaultColWidth="9" defaultRowHeight="14.25" customHeight="1"/>
  <cols>
    <col min="1" max="1" width="13.09765625" bestFit="1" customWidth="1"/>
    <col min="2" max="2" width="17" style="17" customWidth="1"/>
    <col min="3" max="3" width="37" style="88" bestFit="1" customWidth="1"/>
    <col min="4" max="4" width="16.5" style="43" customWidth="1"/>
    <col min="5" max="7" width="19.5" style="17" customWidth="1"/>
    <col min="8" max="8" width="13.19921875" style="17" customWidth="1"/>
    <col min="9" max="9" width="16.296875" style="17" customWidth="1"/>
    <col min="10" max="10" width="11.19921875" style="17" customWidth="1"/>
    <col min="11" max="11" width="7.69921875" style="17" customWidth="1"/>
    <col min="12" max="12" width="12.69921875" style="17" customWidth="1"/>
    <col min="13" max="13" width="14.796875" style="17" customWidth="1"/>
    <col min="14" max="14" width="15" style="17" customWidth="1"/>
    <col min="15" max="15" width="8.5" style="17" customWidth="1"/>
    <col min="16" max="17" width="7.69921875" style="17" customWidth="1"/>
    <col min="18" max="18" width="18.19921875" style="17" customWidth="1"/>
    <col min="19" max="20" width="10.5" style="17" customWidth="1"/>
    <col min="21" max="21" width="10.09765625" style="42" customWidth="1"/>
    <col min="22" max="22" width="9" customWidth="1"/>
    <col min="23" max="23" width="12.09765625" style="90" customWidth="1"/>
    <col min="24" max="24" width="10.59765625" style="44" bestFit="1" customWidth="1"/>
    <col min="25" max="25" width="16.597656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3081</v>
      </c>
      <c r="S2" s="66" t="s">
        <v>3082</v>
      </c>
      <c r="T2" s="90" t="s">
        <v>752</v>
      </c>
      <c r="U2" s="44" t="s">
        <v>35</v>
      </c>
      <c r="V2" s="17" t="s">
        <v>753</v>
      </c>
      <c r="W2" s="17" t="s">
        <v>2196</v>
      </c>
      <c r="X2" s="17" t="s">
        <v>2903</v>
      </c>
      <c r="Y2" s="17" t="s">
        <v>2904</v>
      </c>
      <c r="Z2" s="17" t="s">
        <v>2905</v>
      </c>
    </row>
    <row r="3" spans="1:26" s="67" customFormat="1" ht="14.25" hidden="1" customHeight="1">
      <c r="A3" s="354" t="s">
        <v>2624</v>
      </c>
      <c r="B3" s="167" t="s">
        <v>356</v>
      </c>
      <c r="C3" s="168" t="s">
        <v>2679</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2624</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2624</v>
      </c>
      <c r="B5" s="167" t="s">
        <v>356</v>
      </c>
      <c r="C5" s="168" t="s">
        <v>2523</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2624</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2624</v>
      </c>
      <c r="B7" s="350" t="s">
        <v>356</v>
      </c>
      <c r="C7" s="67" t="s">
        <v>2520</v>
      </c>
      <c r="D7" s="399"/>
      <c r="E7" s="67">
        <v>198475</v>
      </c>
      <c r="J7" s="67" t="s">
        <v>793</v>
      </c>
      <c r="K7" s="67" t="s">
        <v>793</v>
      </c>
      <c r="L7" s="163" t="s">
        <v>793</v>
      </c>
      <c r="M7" s="67" t="s">
        <v>293</v>
      </c>
      <c r="R7" s="85"/>
      <c r="S7" s="354"/>
      <c r="T7" s="91"/>
      <c r="U7" s="87"/>
      <c r="X7" s="454"/>
      <c r="Y7" s="454"/>
      <c r="Z7" s="454"/>
    </row>
    <row r="8" spans="1:26" s="67" customFormat="1" ht="10.95" hidden="1" customHeight="1">
      <c r="A8" s="354" t="s">
        <v>2624</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customHeight="1">
      <c r="A9" s="354" t="s">
        <v>2624</v>
      </c>
      <c r="B9" s="350" t="s">
        <v>356</v>
      </c>
      <c r="C9" s="67" t="s">
        <v>367</v>
      </c>
      <c r="D9" s="399" t="s">
        <v>3079</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2624</v>
      </c>
      <c r="B10" s="351" t="s">
        <v>356</v>
      </c>
      <c r="C10" s="351" t="s">
        <v>2522</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2624</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2624</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2624</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2624</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2624</v>
      </c>
      <c r="B15" s="351" t="s">
        <v>356</v>
      </c>
      <c r="C15" s="351" t="s">
        <v>2521</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2624</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2624</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2624</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2624</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2624</v>
      </c>
      <c r="B20" s="350" t="s">
        <v>301</v>
      </c>
      <c r="C20" s="67" t="s">
        <v>944</v>
      </c>
      <c r="D20" s="399" t="s">
        <v>2686</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2624</v>
      </c>
      <c r="B21" s="350" t="s">
        <v>301</v>
      </c>
      <c r="C21" s="350" t="s">
        <v>943</v>
      </c>
      <c r="D21" s="399" t="s">
        <v>2686</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2624</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2624</v>
      </c>
      <c r="B23" s="350" t="s">
        <v>301</v>
      </c>
      <c r="C23" s="350" t="s">
        <v>565</v>
      </c>
      <c r="D23" s="399" t="s">
        <v>2686</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2624</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2624</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2624</v>
      </c>
      <c r="B26" s="357" t="s">
        <v>301</v>
      </c>
      <c r="C26" s="358" t="s">
        <v>2735</v>
      </c>
      <c r="D26" s="352"/>
      <c r="E26" s="163">
        <v>196937</v>
      </c>
      <c r="J26" s="67" t="s">
        <v>2629</v>
      </c>
      <c r="K26" s="67" t="s">
        <v>2597</v>
      </c>
      <c r="L26" s="67" t="s">
        <v>2597</v>
      </c>
      <c r="N26" s="163">
        <v>20.64656067</v>
      </c>
      <c r="O26" s="163">
        <v>92.976043700000005</v>
      </c>
      <c r="R26" s="361"/>
      <c r="S26" s="354"/>
      <c r="T26" s="91">
        <v>43591</v>
      </c>
      <c r="U26" s="361"/>
      <c r="W26" s="353"/>
      <c r="X26" s="454"/>
      <c r="Y26" s="454"/>
      <c r="Z26" s="454"/>
    </row>
    <row r="27" spans="1:26" s="67" customFormat="1" ht="14.25" hidden="1" customHeight="1">
      <c r="A27" s="354" t="s">
        <v>2624</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2624</v>
      </c>
      <c r="B28" s="357" t="s">
        <v>301</v>
      </c>
      <c r="C28" s="358" t="s">
        <v>2736</v>
      </c>
      <c r="D28" s="352"/>
      <c r="E28" s="350">
        <v>196940</v>
      </c>
      <c r="F28" s="350"/>
      <c r="G28" s="350"/>
      <c r="H28" s="350"/>
      <c r="I28" s="350"/>
      <c r="J28" s="350" t="s">
        <v>2629</v>
      </c>
      <c r="K28" s="350" t="s">
        <v>2597</v>
      </c>
      <c r="L28" s="350" t="s">
        <v>2597</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2624</v>
      </c>
      <c r="B29" s="357" t="s">
        <v>301</v>
      </c>
      <c r="C29" s="358" t="s">
        <v>2734</v>
      </c>
      <c r="D29" s="352"/>
      <c r="E29" s="350">
        <v>196942</v>
      </c>
      <c r="F29" s="350"/>
      <c r="G29" s="350"/>
      <c r="H29" s="350"/>
      <c r="I29" s="350"/>
      <c r="J29" s="67" t="s">
        <v>2629</v>
      </c>
      <c r="K29" s="67" t="s">
        <v>2597</v>
      </c>
      <c r="L29" s="67" t="s">
        <v>2597</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2624</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2624</v>
      </c>
      <c r="B31" s="357" t="s">
        <v>301</v>
      </c>
      <c r="C31" s="358" t="s">
        <v>2731</v>
      </c>
      <c r="D31" s="352"/>
      <c r="E31" s="350">
        <v>196943</v>
      </c>
      <c r="F31" s="350"/>
      <c r="G31" s="350"/>
      <c r="H31" s="350"/>
      <c r="I31" s="350"/>
      <c r="J31" s="350" t="s">
        <v>2629</v>
      </c>
      <c r="K31" s="350" t="s">
        <v>2597</v>
      </c>
      <c r="L31" s="350" t="s">
        <v>2597</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2624</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2624</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2624</v>
      </c>
      <c r="B34" s="350" t="s">
        <v>301</v>
      </c>
      <c r="C34" s="350" t="s">
        <v>555</v>
      </c>
      <c r="D34" s="399" t="s">
        <v>2686</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2624</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2624</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2624</v>
      </c>
      <c r="B37" s="357" t="s">
        <v>301</v>
      </c>
      <c r="C37" s="358" t="s">
        <v>2730</v>
      </c>
      <c r="D37" s="352"/>
      <c r="F37" s="350"/>
      <c r="J37" s="67" t="s">
        <v>2629</v>
      </c>
      <c r="K37" s="67" t="s">
        <v>2597</v>
      </c>
      <c r="L37" s="67" t="s">
        <v>2597</v>
      </c>
      <c r="R37" s="361"/>
      <c r="S37" s="354"/>
      <c r="T37" s="91">
        <v>43591</v>
      </c>
      <c r="U37" s="361"/>
      <c r="W37" s="353"/>
      <c r="X37" s="454"/>
      <c r="Y37" s="454"/>
      <c r="Z37" s="454"/>
    </row>
    <row r="38" spans="1:26" s="67" customFormat="1" ht="14.25" hidden="1" customHeight="1">
      <c r="A38" s="354" t="s">
        <v>2624</v>
      </c>
      <c r="B38" s="167" t="s">
        <v>301</v>
      </c>
      <c r="C38" s="168" t="s">
        <v>546</v>
      </c>
      <c r="D38" s="399" t="s">
        <v>2686</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2624</v>
      </c>
      <c r="B39" s="357" t="s">
        <v>301</v>
      </c>
      <c r="C39" s="358" t="s">
        <v>2693</v>
      </c>
      <c r="D39" s="352"/>
      <c r="E39" s="67">
        <v>196906</v>
      </c>
      <c r="J39" s="67" t="s">
        <v>2629</v>
      </c>
      <c r="K39" s="67" t="s">
        <v>2597</v>
      </c>
      <c r="L39" s="67" t="s">
        <v>2597</v>
      </c>
      <c r="N39" s="67">
        <v>20.680830001831101</v>
      </c>
      <c r="O39" s="67">
        <v>92.917633056640597</v>
      </c>
      <c r="R39" s="361"/>
      <c r="S39" s="354"/>
      <c r="T39" s="91">
        <v>43591</v>
      </c>
      <c r="U39" s="361"/>
      <c r="W39" s="353"/>
      <c r="X39" s="454"/>
      <c r="Y39" s="454"/>
      <c r="Z39" s="454"/>
    </row>
    <row r="40" spans="1:26" s="67" customFormat="1" ht="14.25" hidden="1" customHeight="1">
      <c r="A40" s="354" t="s">
        <v>2624</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2624</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2624</v>
      </c>
      <c r="B42" s="462" t="s">
        <v>301</v>
      </c>
      <c r="C42" s="463" t="s">
        <v>2781</v>
      </c>
      <c r="D42" s="457"/>
      <c r="E42" s="350"/>
      <c r="F42" s="350"/>
      <c r="G42" s="350"/>
      <c r="H42" s="350"/>
      <c r="I42" s="350"/>
      <c r="J42" s="350" t="s">
        <v>2629</v>
      </c>
      <c r="K42" s="350" t="s">
        <v>2597</v>
      </c>
      <c r="L42" s="350" t="s">
        <v>2597</v>
      </c>
      <c r="M42" s="350"/>
      <c r="N42" s="350"/>
      <c r="O42" s="350"/>
      <c r="P42" s="350"/>
      <c r="Q42" s="350"/>
      <c r="R42" s="466"/>
      <c r="S42" s="354"/>
      <c r="T42" s="373">
        <v>43591</v>
      </c>
      <c r="U42" s="466"/>
      <c r="V42" s="350"/>
      <c r="W42" s="458"/>
      <c r="X42" s="454"/>
      <c r="Y42" s="454"/>
      <c r="Z42" s="454"/>
    </row>
    <row r="43" spans="1:26" s="67" customFormat="1" ht="14.25" hidden="1" customHeight="1">
      <c r="A43" s="354" t="s">
        <v>2624</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2624</v>
      </c>
      <c r="B44" s="454" t="s">
        <v>301</v>
      </c>
      <c r="C44" s="454" t="s">
        <v>644</v>
      </c>
      <c r="D44" s="399" t="s">
        <v>2686</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2624</v>
      </c>
      <c r="B45" s="462" t="s">
        <v>301</v>
      </c>
      <c r="C45" s="463" t="s">
        <v>2737</v>
      </c>
      <c r="D45" s="457"/>
      <c r="E45" s="350">
        <v>196865</v>
      </c>
      <c r="F45" s="350"/>
      <c r="G45" s="350"/>
      <c r="H45" s="350"/>
      <c r="I45" s="350"/>
      <c r="J45" s="350" t="s">
        <v>2629</v>
      </c>
      <c r="K45" s="350" t="s">
        <v>2597</v>
      </c>
      <c r="L45" s="350" t="s">
        <v>2597</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2624</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2624</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2624</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2624</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2624</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2624</v>
      </c>
      <c r="B51" s="350" t="s">
        <v>301</v>
      </c>
      <c r="C51" s="350" t="s">
        <v>609</v>
      </c>
      <c r="D51" s="399" t="s">
        <v>2686</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2624</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2624</v>
      </c>
      <c r="B53" s="462" t="s">
        <v>301</v>
      </c>
      <c r="C53" s="463" t="s">
        <v>2732</v>
      </c>
      <c r="D53" s="457"/>
      <c r="E53" s="67" t="s">
        <v>2761</v>
      </c>
      <c r="J53" s="67" t="s">
        <v>2629</v>
      </c>
      <c r="K53" s="67" t="s">
        <v>2597</v>
      </c>
      <c r="L53" s="67" t="s">
        <v>2597</v>
      </c>
      <c r="R53" s="466"/>
      <c r="S53" s="354"/>
      <c r="T53" s="91">
        <v>43591</v>
      </c>
      <c r="U53" s="466"/>
      <c r="W53" s="458"/>
      <c r="X53" s="454"/>
      <c r="Y53" s="454"/>
      <c r="Z53" s="454"/>
    </row>
    <row r="54" spans="1:26" s="67" customFormat="1" ht="14.25" hidden="1" customHeight="1">
      <c r="A54" s="459" t="s">
        <v>2624</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2624</v>
      </c>
      <c r="B55" s="462" t="s">
        <v>301</v>
      </c>
      <c r="C55" s="463" t="s">
        <v>2729</v>
      </c>
      <c r="D55" s="352"/>
      <c r="E55" s="454">
        <v>220632</v>
      </c>
      <c r="F55" s="454"/>
      <c r="G55" s="454"/>
      <c r="H55" s="454"/>
      <c r="I55" s="454"/>
      <c r="J55" s="454" t="s">
        <v>2629</v>
      </c>
      <c r="K55" s="454" t="s">
        <v>2597</v>
      </c>
      <c r="L55" s="454" t="s">
        <v>2597</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2624</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2624</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2624</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customHeight="1">
      <c r="A59" s="459" t="s">
        <v>2624</v>
      </c>
      <c r="B59" s="454" t="s">
        <v>301</v>
      </c>
      <c r="C59" s="454" t="s">
        <v>938</v>
      </c>
      <c r="D59" s="399" t="s">
        <v>3079</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2624</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2624</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2624</v>
      </c>
      <c r="B62" s="357" t="s">
        <v>301</v>
      </c>
      <c r="C62" s="358" t="s">
        <v>2733</v>
      </c>
      <c r="D62" s="352"/>
      <c r="E62" s="67" t="s">
        <v>2762</v>
      </c>
      <c r="J62" s="67" t="s">
        <v>2629</v>
      </c>
      <c r="K62" s="67" t="s">
        <v>2597</v>
      </c>
      <c r="L62" s="67" t="s">
        <v>2597</v>
      </c>
      <c r="R62" s="361"/>
      <c r="S62" s="354"/>
      <c r="T62" s="91">
        <v>43591</v>
      </c>
      <c r="U62" s="361"/>
      <c r="W62" s="353"/>
      <c r="X62" s="454"/>
      <c r="Y62" s="454"/>
      <c r="Z62" s="454"/>
    </row>
    <row r="63" spans="1:26" s="67" customFormat="1" ht="14.25" hidden="1" customHeight="1">
      <c r="A63" s="354" t="s">
        <v>2624</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2624</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2624</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2624</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2624</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2624</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2624</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2624</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2624</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2624</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2624</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2624</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2624</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2624</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2624</v>
      </c>
      <c r="B77" s="357" t="s">
        <v>301</v>
      </c>
      <c r="C77" s="358" t="s">
        <v>592</v>
      </c>
      <c r="D77" s="399" t="s">
        <v>2686</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2624</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2624</v>
      </c>
      <c r="B79" s="357" t="s">
        <v>301</v>
      </c>
      <c r="C79" s="358" t="s">
        <v>945</v>
      </c>
      <c r="D79" s="399" t="s">
        <v>2686</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2624</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2624</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2624</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2624</v>
      </c>
      <c r="B83" s="357" t="s">
        <v>301</v>
      </c>
      <c r="C83" s="358" t="s">
        <v>2694</v>
      </c>
      <c r="D83" s="352"/>
      <c r="E83" s="67">
        <v>196911</v>
      </c>
      <c r="J83" s="67" t="s">
        <v>2629</v>
      </c>
      <c r="K83" s="67" t="s">
        <v>2597</v>
      </c>
      <c r="L83" s="67" t="s">
        <v>2597</v>
      </c>
      <c r="N83" s="67">
        <v>20.674160003662099</v>
      </c>
      <c r="O83" s="67">
        <v>92.9078369140625</v>
      </c>
      <c r="R83" s="361"/>
      <c r="S83" s="354"/>
      <c r="T83" s="91">
        <v>43591</v>
      </c>
      <c r="U83" s="361"/>
      <c r="W83" s="353"/>
      <c r="X83" s="454"/>
      <c r="Y83" s="454"/>
      <c r="Z83" s="454"/>
    </row>
    <row r="84" spans="1:26" s="67" customFormat="1" ht="14.25" hidden="1" customHeight="1">
      <c r="A84" s="354" t="s">
        <v>2624</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2624</v>
      </c>
      <c r="B85" s="167" t="s">
        <v>301</v>
      </c>
      <c r="C85" s="168" t="s">
        <v>2516</v>
      </c>
      <c r="D85" s="352"/>
      <c r="E85" s="163">
        <v>196673</v>
      </c>
      <c r="F85" s="163"/>
      <c r="G85" s="163"/>
      <c r="H85" s="163"/>
      <c r="I85" s="163"/>
      <c r="J85" s="67" t="s">
        <v>2629</v>
      </c>
      <c r="K85" s="67" t="s">
        <v>2597</v>
      </c>
      <c r="L85" s="163" t="s">
        <v>2597</v>
      </c>
      <c r="M85" s="163"/>
      <c r="N85" s="163"/>
      <c r="O85" s="163"/>
      <c r="P85" s="163"/>
      <c r="Q85" s="163"/>
      <c r="R85" s="164"/>
      <c r="S85" s="162"/>
      <c r="T85" s="165"/>
      <c r="U85" s="166"/>
      <c r="V85" s="163"/>
      <c r="W85" s="353"/>
      <c r="X85" s="454"/>
      <c r="Y85" s="454"/>
      <c r="Z85" s="454"/>
    </row>
    <row r="86" spans="1:26" s="67" customFormat="1" ht="14.25" hidden="1" customHeight="1">
      <c r="A86" s="354" t="s">
        <v>2624</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2624</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2624</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2624</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2624</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2624</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2624</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2624</v>
      </c>
      <c r="B93" s="351" t="s">
        <v>301</v>
      </c>
      <c r="C93" s="351" t="s">
        <v>2760</v>
      </c>
      <c r="D93" s="399"/>
      <c r="E93" s="67">
        <v>196923</v>
      </c>
      <c r="J93" s="67" t="s">
        <v>2629</v>
      </c>
      <c r="K93" s="67" t="s">
        <v>2597</v>
      </c>
      <c r="L93" s="67" t="s">
        <v>2597</v>
      </c>
      <c r="N93" s="67">
        <v>20.675489425659201</v>
      </c>
      <c r="O93" s="67">
        <v>92.916961669921903</v>
      </c>
      <c r="R93" s="85"/>
      <c r="S93" s="86"/>
      <c r="T93" s="91"/>
      <c r="U93" s="355"/>
      <c r="X93" s="454"/>
      <c r="Y93" s="454"/>
      <c r="Z93" s="454"/>
    </row>
    <row r="94" spans="1:26" s="67" customFormat="1" ht="14.25" hidden="1" customHeight="1">
      <c r="A94" s="354" t="s">
        <v>2624</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2624</v>
      </c>
      <c r="B95" s="357" t="s">
        <v>301</v>
      </c>
      <c r="C95" s="358" t="s">
        <v>572</v>
      </c>
      <c r="D95" s="399" t="s">
        <v>2686</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2624</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2624</v>
      </c>
      <c r="B97" s="357" t="s">
        <v>301</v>
      </c>
      <c r="C97" s="358" t="s">
        <v>2738</v>
      </c>
      <c r="D97" s="352"/>
      <c r="E97" s="67">
        <v>196981</v>
      </c>
      <c r="J97" s="67" t="s">
        <v>2629</v>
      </c>
      <c r="K97" s="350" t="s">
        <v>2597</v>
      </c>
      <c r="L97" s="350" t="s">
        <v>2597</v>
      </c>
      <c r="N97" s="67">
        <v>20.656810760498001</v>
      </c>
      <c r="O97" s="67">
        <v>93.029953002929702</v>
      </c>
      <c r="R97" s="361"/>
      <c r="S97" s="86"/>
      <c r="T97" s="91">
        <v>43591</v>
      </c>
      <c r="U97" s="361"/>
      <c r="W97" s="353"/>
      <c r="X97" s="454"/>
      <c r="Y97" s="454"/>
      <c r="Z97" s="454"/>
    </row>
    <row r="98" spans="1:26" s="67" customFormat="1" ht="14.25" hidden="1" customHeight="1">
      <c r="A98" s="354" t="s">
        <v>2624</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2624</v>
      </c>
      <c r="B99" s="350" t="s">
        <v>311</v>
      </c>
      <c r="C99" s="350" t="s">
        <v>2576</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2624</v>
      </c>
      <c r="B100" s="350" t="s">
        <v>311</v>
      </c>
      <c r="C100" s="350" t="s">
        <v>2573</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2624</v>
      </c>
      <c r="B101" s="350" t="s">
        <v>311</v>
      </c>
      <c r="C101" s="67" t="s">
        <v>2591</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2624</v>
      </c>
      <c r="B102" s="350" t="s">
        <v>311</v>
      </c>
      <c r="C102" s="67" t="s">
        <v>894</v>
      </c>
      <c r="D102" s="399" t="s">
        <v>2686</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2624</v>
      </c>
      <c r="B103" s="350" t="s">
        <v>311</v>
      </c>
      <c r="C103" s="350" t="s">
        <v>2585</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2624</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2624</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2624</v>
      </c>
      <c r="B106" s="350" t="s">
        <v>311</v>
      </c>
      <c r="C106" s="350" t="s">
        <v>2589</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2624</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2624</v>
      </c>
      <c r="B108" s="350" t="s">
        <v>311</v>
      </c>
      <c r="C108" s="350" t="s">
        <v>2594</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2624</v>
      </c>
      <c r="B109" s="357" t="s">
        <v>311</v>
      </c>
      <c r="C109" s="358" t="s">
        <v>2700</v>
      </c>
      <c r="D109" s="352"/>
      <c r="J109" s="67" t="s">
        <v>2629</v>
      </c>
      <c r="K109" s="67" t="s">
        <v>2597</v>
      </c>
      <c r="L109" s="67" t="s">
        <v>2597</v>
      </c>
      <c r="R109" s="361"/>
      <c r="S109" s="354"/>
      <c r="T109" s="91">
        <v>43591</v>
      </c>
      <c r="U109" s="361"/>
      <c r="W109" s="353"/>
      <c r="X109" s="454"/>
      <c r="Y109" s="454"/>
      <c r="Z109" s="454"/>
    </row>
    <row r="110" spans="1:26" s="67" customFormat="1" ht="14.25" hidden="1" customHeight="1">
      <c r="A110" s="354" t="s">
        <v>2624</v>
      </c>
      <c r="B110" s="350" t="s">
        <v>311</v>
      </c>
      <c r="C110" s="350" t="s">
        <v>2582</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2624</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2624</v>
      </c>
      <c r="B112" s="350" t="s">
        <v>311</v>
      </c>
      <c r="C112" s="350" t="s">
        <v>2583</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2624</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2624</v>
      </c>
      <c r="B114" s="350" t="s">
        <v>311</v>
      </c>
      <c r="C114" s="350" t="s">
        <v>2571</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2624</v>
      </c>
      <c r="B115" s="357" t="s">
        <v>311</v>
      </c>
      <c r="C115" s="358" t="s">
        <v>2695</v>
      </c>
      <c r="D115" s="352"/>
      <c r="E115" s="67">
        <v>197065</v>
      </c>
      <c r="J115" s="67" t="s">
        <v>2629</v>
      </c>
      <c r="K115" s="350" t="s">
        <v>2597</v>
      </c>
      <c r="L115" s="350" t="s">
        <v>2597</v>
      </c>
      <c r="N115" s="67">
        <v>20.593980789184599</v>
      </c>
      <c r="O115" s="67">
        <v>93.261528015136705</v>
      </c>
      <c r="R115" s="361"/>
      <c r="S115" s="86"/>
      <c r="T115" s="91">
        <v>43591</v>
      </c>
      <c r="U115" s="361"/>
      <c r="W115" s="353"/>
      <c r="X115" s="454"/>
      <c r="Y115" s="454"/>
      <c r="Z115" s="454"/>
    </row>
    <row r="116" spans="1:26" s="67" customFormat="1" ht="14.25" hidden="1" customHeight="1">
      <c r="A116" s="354" t="s">
        <v>2624</v>
      </c>
      <c r="B116" s="350" t="s">
        <v>311</v>
      </c>
      <c r="C116" s="350" t="s">
        <v>2581</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2624</v>
      </c>
      <c r="B117" s="357" t="s">
        <v>311</v>
      </c>
      <c r="C117" s="358" t="s">
        <v>2719</v>
      </c>
      <c r="D117" s="352"/>
      <c r="J117" s="67" t="s">
        <v>2629</v>
      </c>
      <c r="K117" s="67" t="s">
        <v>2597</v>
      </c>
      <c r="L117" s="67" t="s">
        <v>2597</v>
      </c>
      <c r="R117" s="361"/>
      <c r="S117" s="354"/>
      <c r="T117" s="91">
        <v>43591</v>
      </c>
      <c r="U117" s="361"/>
      <c r="W117" s="353"/>
      <c r="X117" s="454"/>
      <c r="Y117" s="454"/>
      <c r="Z117" s="454"/>
    </row>
    <row r="118" spans="1:26" s="67" customFormat="1" ht="14.25" hidden="1" customHeight="1">
      <c r="A118" s="354" t="s">
        <v>2624</v>
      </c>
      <c r="B118" s="350" t="s">
        <v>311</v>
      </c>
      <c r="C118" s="350" t="s">
        <v>2592</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2624</v>
      </c>
      <c r="B119" s="350" t="s">
        <v>311</v>
      </c>
      <c r="C119" s="350" t="s">
        <v>2575</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2624</v>
      </c>
      <c r="B120" s="350" t="s">
        <v>311</v>
      </c>
      <c r="C120" s="350" t="s">
        <v>2574</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2624</v>
      </c>
      <c r="B121" s="350" t="s">
        <v>311</v>
      </c>
      <c r="C121" s="350" t="s">
        <v>881</v>
      </c>
      <c r="D121" s="399" t="s">
        <v>2686</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2624</v>
      </c>
      <c r="B122" s="350" t="s">
        <v>311</v>
      </c>
      <c r="C122" s="350" t="s">
        <v>657</v>
      </c>
      <c r="D122" s="399"/>
      <c r="E122" s="67">
        <v>197110</v>
      </c>
      <c r="F122" s="67" t="s">
        <v>2666</v>
      </c>
      <c r="J122" s="67" t="s">
        <v>793</v>
      </c>
      <c r="K122" s="67" t="s">
        <v>793</v>
      </c>
      <c r="L122" s="67" t="s">
        <v>793</v>
      </c>
      <c r="R122" s="85"/>
      <c r="S122" s="354"/>
      <c r="T122" s="91"/>
      <c r="U122" s="87"/>
      <c r="X122" s="454"/>
      <c r="Y122" s="454"/>
      <c r="Z122" s="454"/>
    </row>
    <row r="123" spans="1:26" s="67" customFormat="1" ht="14.25" hidden="1" customHeight="1">
      <c r="A123" s="357" t="s">
        <v>2624</v>
      </c>
      <c r="B123" s="357" t="s">
        <v>311</v>
      </c>
      <c r="C123" s="358" t="s">
        <v>2699</v>
      </c>
      <c r="D123" s="352"/>
      <c r="E123" s="67">
        <v>197051</v>
      </c>
      <c r="J123" s="67" t="s">
        <v>2629</v>
      </c>
      <c r="K123" s="67" t="s">
        <v>2597</v>
      </c>
      <c r="L123" s="67" t="s">
        <v>2597</v>
      </c>
      <c r="N123" s="350">
        <v>20.599809646606399</v>
      </c>
      <c r="O123" s="350">
        <v>93.265541076660199</v>
      </c>
      <c r="R123" s="361"/>
      <c r="S123" s="354"/>
      <c r="T123" s="91">
        <v>43591</v>
      </c>
      <c r="U123" s="361"/>
      <c r="W123" s="353"/>
      <c r="X123" s="454"/>
      <c r="Y123" s="454"/>
      <c r="Z123" s="454"/>
    </row>
    <row r="124" spans="1:26" s="67" customFormat="1" ht="14.25" hidden="1" customHeight="1">
      <c r="A124" s="354" t="s">
        <v>2624</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2624</v>
      </c>
      <c r="B125" s="351" t="s">
        <v>311</v>
      </c>
      <c r="C125" s="351" t="s">
        <v>890</v>
      </c>
      <c r="D125" s="399" t="s">
        <v>2686</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2624</v>
      </c>
      <c r="B126" s="351" t="s">
        <v>311</v>
      </c>
      <c r="C126" s="351" t="s">
        <v>464</v>
      </c>
      <c r="D126" s="399" t="s">
        <v>2686</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2624</v>
      </c>
      <c r="B127" s="351" t="s">
        <v>311</v>
      </c>
      <c r="C127" s="351" t="s">
        <v>2580</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2624</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2624</v>
      </c>
      <c r="B129" s="351" t="s">
        <v>311</v>
      </c>
      <c r="C129" s="351" t="s">
        <v>2572</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2624</v>
      </c>
      <c r="B130" s="351" t="s">
        <v>311</v>
      </c>
      <c r="C130" s="351" t="s">
        <v>2593</v>
      </c>
      <c r="D130" s="399"/>
      <c r="E130" s="67">
        <v>197114</v>
      </c>
      <c r="F130" s="67" t="s">
        <v>2666</v>
      </c>
      <c r="J130" s="67" t="s">
        <v>793</v>
      </c>
      <c r="K130" s="350" t="s">
        <v>793</v>
      </c>
      <c r="L130" s="350" t="s">
        <v>793</v>
      </c>
      <c r="R130" s="353"/>
      <c r="S130" s="86"/>
      <c r="T130" s="91"/>
      <c r="U130" s="87"/>
      <c r="X130" s="454"/>
      <c r="Y130" s="454"/>
      <c r="Z130" s="454"/>
    </row>
    <row r="131" spans="1:26" s="67" customFormat="1" ht="14.25" hidden="1" customHeight="1">
      <c r="A131" s="354" t="s">
        <v>2624</v>
      </c>
      <c r="B131" s="351" t="s">
        <v>311</v>
      </c>
      <c r="C131" s="351" t="s">
        <v>891</v>
      </c>
      <c r="D131" s="399" t="s">
        <v>2686</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2624</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2624</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2624</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2624</v>
      </c>
      <c r="B135" s="351" t="s">
        <v>311</v>
      </c>
      <c r="C135" s="351" t="s">
        <v>2596</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2624</v>
      </c>
      <c r="B136" s="351" t="s">
        <v>311</v>
      </c>
      <c r="C136" s="351" t="s">
        <v>2587</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2624</v>
      </c>
      <c r="B137" s="351" t="s">
        <v>311</v>
      </c>
      <c r="C137" s="351" t="s">
        <v>2588</v>
      </c>
      <c r="D137" s="399"/>
      <c r="E137" s="67">
        <v>197100</v>
      </c>
      <c r="F137" s="350" t="s">
        <v>2667</v>
      </c>
      <c r="J137" s="67" t="s">
        <v>793</v>
      </c>
      <c r="K137" s="67" t="s">
        <v>793</v>
      </c>
      <c r="L137" s="67" t="s">
        <v>793</v>
      </c>
      <c r="Q137" s="350"/>
      <c r="R137" s="353"/>
      <c r="S137" s="354"/>
      <c r="T137" s="373"/>
      <c r="U137" s="87"/>
      <c r="W137" s="350"/>
      <c r="X137" s="454"/>
      <c r="Y137" s="454"/>
      <c r="Z137" s="454"/>
    </row>
    <row r="138" spans="1:26" s="67" customFormat="1" ht="14.25" hidden="1" customHeight="1">
      <c r="A138" s="354" t="s">
        <v>2624</v>
      </c>
      <c r="B138" s="351" t="s">
        <v>311</v>
      </c>
      <c r="C138" s="351" t="s">
        <v>2579</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2624</v>
      </c>
      <c r="B139" s="351" t="s">
        <v>311</v>
      </c>
      <c r="C139" s="351" t="s">
        <v>2595</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2624</v>
      </c>
      <c r="B140" s="351" t="s">
        <v>311</v>
      </c>
      <c r="C140" s="70" t="s">
        <v>2586</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2624</v>
      </c>
      <c r="B141" s="351" t="s">
        <v>311</v>
      </c>
      <c r="C141" s="351" t="s">
        <v>459</v>
      </c>
      <c r="D141" s="399" t="s">
        <v>2686</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2624</v>
      </c>
      <c r="B142" s="351" t="s">
        <v>311</v>
      </c>
      <c r="C142" s="351" t="s">
        <v>504</v>
      </c>
      <c r="D142" s="399" t="s">
        <v>2686</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2624</v>
      </c>
      <c r="B143" s="351" t="s">
        <v>311</v>
      </c>
      <c r="C143" s="351" t="s">
        <v>2578</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2624</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2624</v>
      </c>
      <c r="B145" s="351" t="s">
        <v>311</v>
      </c>
      <c r="C145" s="351" t="s">
        <v>2577</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2624</v>
      </c>
      <c r="B146" s="351" t="s">
        <v>311</v>
      </c>
      <c r="C146" s="351" t="s">
        <v>2584</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2624</v>
      </c>
      <c r="B147" s="351" t="s">
        <v>311</v>
      </c>
      <c r="C147" s="351" t="s">
        <v>2590</v>
      </c>
      <c r="D147" s="399"/>
      <c r="E147" s="67">
        <v>197102</v>
      </c>
      <c r="F147" s="350" t="s">
        <v>2668</v>
      </c>
      <c r="J147" s="67" t="s">
        <v>793</v>
      </c>
      <c r="K147" s="67" t="s">
        <v>793</v>
      </c>
      <c r="L147" s="67" t="s">
        <v>793</v>
      </c>
      <c r="R147" s="85"/>
      <c r="S147" s="354"/>
      <c r="T147" s="91"/>
      <c r="U147" s="87"/>
      <c r="X147" s="454"/>
      <c r="Y147" s="454"/>
      <c r="Z147" s="454"/>
    </row>
    <row r="148" spans="1:26" s="67" customFormat="1" ht="14.25" hidden="1" customHeight="1">
      <c r="A148" s="357" t="s">
        <v>2624</v>
      </c>
      <c r="B148" s="357" t="s">
        <v>311</v>
      </c>
      <c r="C148" s="358" t="s">
        <v>2701</v>
      </c>
      <c r="D148" s="352"/>
      <c r="E148" s="67">
        <v>197047</v>
      </c>
      <c r="J148" s="67" t="s">
        <v>2629</v>
      </c>
      <c r="K148" s="67" t="s">
        <v>2597</v>
      </c>
      <c r="L148" s="67" t="s">
        <v>2597</v>
      </c>
      <c r="N148" s="67">
        <v>20.454280853271499</v>
      </c>
      <c r="O148" s="67">
        <v>93.281562805175795</v>
      </c>
      <c r="R148" s="361"/>
      <c r="S148" s="354"/>
      <c r="T148" s="91">
        <v>43591</v>
      </c>
      <c r="U148" s="361"/>
      <c r="W148" s="353"/>
      <c r="X148" s="454"/>
      <c r="Y148" s="454"/>
      <c r="Z148" s="454"/>
    </row>
    <row r="149" spans="1:26" s="67" customFormat="1" ht="14.25" hidden="1" customHeight="1">
      <c r="A149" s="357" t="s">
        <v>2624</v>
      </c>
      <c r="B149" s="357" t="s">
        <v>311</v>
      </c>
      <c r="C149" s="358" t="s">
        <v>2720</v>
      </c>
      <c r="D149" s="352"/>
      <c r="E149" s="67">
        <v>197051</v>
      </c>
      <c r="J149" s="67" t="s">
        <v>2629</v>
      </c>
      <c r="K149" s="67" t="s">
        <v>2597</v>
      </c>
      <c r="L149" s="67" t="s">
        <v>2597</v>
      </c>
      <c r="N149" s="350">
        <v>20.599809646606399</v>
      </c>
      <c r="O149" s="350">
        <v>93.265541076660199</v>
      </c>
      <c r="R149" s="361"/>
      <c r="S149" s="86"/>
      <c r="T149" s="91">
        <v>43591</v>
      </c>
      <c r="U149" s="361"/>
      <c r="W149" s="353"/>
      <c r="X149" s="454"/>
      <c r="Y149" s="454"/>
      <c r="Z149" s="454"/>
    </row>
    <row r="150" spans="1:26" s="67" customFormat="1" ht="14.25" hidden="1" customHeight="1">
      <c r="A150" s="354" t="s">
        <v>2624</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2624</v>
      </c>
      <c r="B151" s="357" t="s">
        <v>470</v>
      </c>
      <c r="C151" s="358" t="s">
        <v>2763</v>
      </c>
      <c r="D151" s="352"/>
      <c r="E151" s="67">
        <v>196610</v>
      </c>
      <c r="F151" s="350"/>
      <c r="J151" s="67" t="s">
        <v>2629</v>
      </c>
      <c r="K151" s="67" t="s">
        <v>2597</v>
      </c>
      <c r="L151" s="67" t="s">
        <v>2597</v>
      </c>
      <c r="N151" s="67">
        <v>20.710781097412099</v>
      </c>
      <c r="O151" s="67">
        <v>93.127502441406307</v>
      </c>
      <c r="R151" s="361"/>
      <c r="S151" s="354"/>
      <c r="T151" s="91">
        <v>43591</v>
      </c>
      <c r="U151" s="361"/>
      <c r="W151" s="353"/>
      <c r="X151" s="454"/>
      <c r="Y151" s="454"/>
      <c r="Z151" s="454"/>
    </row>
    <row r="152" spans="1:26" s="67" customFormat="1" ht="14.25" hidden="1" customHeight="1">
      <c r="A152" s="357" t="s">
        <v>2624</v>
      </c>
      <c r="B152" s="357" t="s">
        <v>470</v>
      </c>
      <c r="C152" s="358" t="s">
        <v>2710</v>
      </c>
      <c r="D152" s="352"/>
      <c r="E152" s="67" t="s">
        <v>2764</v>
      </c>
      <c r="J152" s="67" t="s">
        <v>2629</v>
      </c>
      <c r="K152" s="67" t="s">
        <v>2597</v>
      </c>
      <c r="L152" s="67" t="s">
        <v>2597</v>
      </c>
      <c r="R152" s="361"/>
      <c r="S152" s="354"/>
      <c r="T152" s="91">
        <v>43591</v>
      </c>
      <c r="U152" s="361"/>
      <c r="W152" s="353"/>
      <c r="X152" s="454"/>
      <c r="Y152" s="454"/>
      <c r="Z152" s="454"/>
    </row>
    <row r="153" spans="1:26" s="67" customFormat="1" ht="14.25" hidden="1" customHeight="1">
      <c r="A153" s="357" t="s">
        <v>2624</v>
      </c>
      <c r="B153" s="357" t="s">
        <v>470</v>
      </c>
      <c r="C153" s="358" t="s">
        <v>2711</v>
      </c>
      <c r="D153" s="352"/>
      <c r="E153" s="67" t="s">
        <v>2764</v>
      </c>
      <c r="J153" s="67" t="s">
        <v>2629</v>
      </c>
      <c r="K153" s="67" t="s">
        <v>2597</v>
      </c>
      <c r="L153" s="67" t="s">
        <v>2597</v>
      </c>
      <c r="R153" s="361"/>
      <c r="S153" s="354"/>
      <c r="T153" s="91">
        <v>43591</v>
      </c>
      <c r="U153" s="361"/>
      <c r="W153" s="353"/>
      <c r="X153" s="454"/>
      <c r="Y153" s="454"/>
      <c r="Z153" s="454"/>
    </row>
    <row r="154" spans="1:26" s="67" customFormat="1" ht="14.25" hidden="1" customHeight="1">
      <c r="A154" s="357" t="s">
        <v>2624</v>
      </c>
      <c r="B154" s="357" t="s">
        <v>470</v>
      </c>
      <c r="C154" s="358" t="s">
        <v>2712</v>
      </c>
      <c r="D154" s="352"/>
      <c r="E154" s="350" t="s">
        <v>2764</v>
      </c>
      <c r="F154" s="350"/>
      <c r="J154" s="67" t="s">
        <v>2629</v>
      </c>
      <c r="K154" s="350" t="s">
        <v>2597</v>
      </c>
      <c r="L154" s="350" t="s">
        <v>2597</v>
      </c>
      <c r="R154" s="361"/>
      <c r="S154" s="354"/>
      <c r="T154" s="91">
        <v>43591</v>
      </c>
      <c r="U154" s="361"/>
      <c r="W154" s="353"/>
      <c r="X154" s="454"/>
      <c r="Y154" s="454"/>
      <c r="Z154" s="454"/>
    </row>
    <row r="155" spans="1:26" s="67" customFormat="1" ht="14.25" hidden="1" customHeight="1">
      <c r="A155" s="357" t="s">
        <v>2624</v>
      </c>
      <c r="B155" s="357" t="s">
        <v>470</v>
      </c>
      <c r="C155" s="358" t="s">
        <v>2713</v>
      </c>
      <c r="D155" s="352"/>
      <c r="E155" s="67" t="s">
        <v>2764</v>
      </c>
      <c r="F155" s="350"/>
      <c r="J155" s="67" t="s">
        <v>2629</v>
      </c>
      <c r="K155" s="350" t="s">
        <v>2597</v>
      </c>
      <c r="L155" s="350" t="s">
        <v>2597</v>
      </c>
      <c r="R155" s="361"/>
      <c r="S155" s="354"/>
      <c r="T155" s="91">
        <v>43591</v>
      </c>
      <c r="U155" s="361"/>
      <c r="W155" s="353"/>
      <c r="X155" s="454"/>
      <c r="Y155" s="454"/>
      <c r="Z155" s="454"/>
    </row>
    <row r="156" spans="1:26" s="67" customFormat="1" ht="14.25" hidden="1" customHeight="1">
      <c r="A156" s="357" t="s">
        <v>2624</v>
      </c>
      <c r="B156" s="357" t="s">
        <v>470</v>
      </c>
      <c r="C156" s="358" t="s">
        <v>2714</v>
      </c>
      <c r="D156" s="352"/>
      <c r="E156" s="350" t="s">
        <v>2764</v>
      </c>
      <c r="J156" s="67" t="s">
        <v>2629</v>
      </c>
      <c r="K156" s="67" t="s">
        <v>2597</v>
      </c>
      <c r="L156" s="67" t="s">
        <v>2597</v>
      </c>
      <c r="R156" s="361"/>
      <c r="S156" s="354"/>
      <c r="T156" s="91">
        <v>43591</v>
      </c>
      <c r="U156" s="361"/>
      <c r="W156" s="353"/>
      <c r="X156" s="454"/>
      <c r="Y156" s="454"/>
      <c r="Z156" s="454"/>
    </row>
    <row r="157" spans="1:26" s="67" customFormat="1" ht="14.25" hidden="1" customHeight="1">
      <c r="A157" s="86" t="s">
        <v>2624</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2624</v>
      </c>
      <c r="B158" s="350" t="s">
        <v>470</v>
      </c>
      <c r="C158" s="350" t="s">
        <v>2549</v>
      </c>
      <c r="D158" s="399"/>
      <c r="F158" s="350"/>
      <c r="J158" s="67" t="s">
        <v>2629</v>
      </c>
      <c r="K158" s="67" t="s">
        <v>2597</v>
      </c>
      <c r="L158" s="67" t="s">
        <v>2597</v>
      </c>
      <c r="R158" s="353"/>
      <c r="S158" s="354"/>
      <c r="T158" s="91"/>
      <c r="U158" s="87"/>
      <c r="X158" s="454"/>
      <c r="Y158" s="454"/>
      <c r="Z158" s="454"/>
    </row>
    <row r="159" spans="1:26" s="67" customFormat="1" ht="14.25" hidden="1" customHeight="1">
      <c r="A159" s="357" t="s">
        <v>2624</v>
      </c>
      <c r="B159" s="357" t="s">
        <v>470</v>
      </c>
      <c r="C159" s="358" t="s">
        <v>550</v>
      </c>
      <c r="D159" s="352"/>
      <c r="J159" s="67" t="s">
        <v>2629</v>
      </c>
      <c r="K159" s="67" t="s">
        <v>2597</v>
      </c>
      <c r="L159" s="67" t="s">
        <v>2597</v>
      </c>
      <c r="R159" s="361"/>
      <c r="S159" s="354"/>
      <c r="T159" s="91">
        <v>43591</v>
      </c>
      <c r="U159" s="361"/>
      <c r="W159" s="353"/>
      <c r="X159" s="454"/>
      <c r="Y159" s="454"/>
      <c r="Z159" s="454"/>
    </row>
    <row r="160" spans="1:26" s="67" customFormat="1" ht="14.25" hidden="1" customHeight="1">
      <c r="A160" s="357" t="s">
        <v>2624</v>
      </c>
      <c r="B160" s="357" t="s">
        <v>470</v>
      </c>
      <c r="C160" s="358" t="s">
        <v>2765</v>
      </c>
      <c r="D160" s="352"/>
      <c r="E160" s="67">
        <v>196475</v>
      </c>
      <c r="J160" s="67" t="s">
        <v>2629</v>
      </c>
      <c r="K160" s="67" t="s">
        <v>2597</v>
      </c>
      <c r="L160" s="67" t="s">
        <v>2597</v>
      </c>
      <c r="R160" s="361"/>
      <c r="S160" s="354"/>
      <c r="T160" s="91">
        <v>43591</v>
      </c>
      <c r="U160" s="361"/>
      <c r="W160" s="353"/>
      <c r="X160" s="454"/>
      <c r="Y160" s="454"/>
      <c r="Z160" s="454"/>
    </row>
    <row r="161" spans="1:26" s="67" customFormat="1" ht="14.25" hidden="1" customHeight="1">
      <c r="A161" s="357" t="s">
        <v>2624</v>
      </c>
      <c r="B161" s="357" t="s">
        <v>470</v>
      </c>
      <c r="C161" s="358" t="s">
        <v>2717</v>
      </c>
      <c r="D161" s="352"/>
      <c r="J161" s="67" t="s">
        <v>2629</v>
      </c>
      <c r="K161" s="67" t="s">
        <v>2597</v>
      </c>
      <c r="L161" s="67" t="s">
        <v>2597</v>
      </c>
      <c r="R161" s="361"/>
      <c r="S161" s="354"/>
      <c r="T161" s="91">
        <v>43591</v>
      </c>
      <c r="U161" s="361"/>
      <c r="W161" s="353"/>
      <c r="X161" s="454"/>
      <c r="Y161" s="454"/>
      <c r="Z161" s="454"/>
    </row>
    <row r="162" spans="1:26" s="67" customFormat="1" ht="14.25" hidden="1" customHeight="1">
      <c r="A162" s="354" t="s">
        <v>2624</v>
      </c>
      <c r="B162" s="350" t="s">
        <v>470</v>
      </c>
      <c r="C162" s="350" t="s">
        <v>2542</v>
      </c>
      <c r="D162" s="399"/>
      <c r="J162" s="67" t="s">
        <v>2629</v>
      </c>
      <c r="K162" s="67" t="s">
        <v>2597</v>
      </c>
      <c r="L162" s="67" t="s">
        <v>2628</v>
      </c>
      <c r="R162" s="353"/>
      <c r="S162" s="354"/>
      <c r="T162" s="91"/>
      <c r="U162" s="87" t="s">
        <v>2538</v>
      </c>
      <c r="X162" s="454"/>
      <c r="Y162" s="454"/>
      <c r="Z162" s="454"/>
    </row>
    <row r="163" spans="1:26" s="67" customFormat="1" ht="14.25" hidden="1" customHeight="1">
      <c r="A163" s="354" t="s">
        <v>2624</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2624</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2624</v>
      </c>
      <c r="B165" s="456" t="s">
        <v>470</v>
      </c>
      <c r="C165" s="456" t="s">
        <v>2766</v>
      </c>
      <c r="D165" s="399"/>
      <c r="E165" s="67">
        <v>196661</v>
      </c>
      <c r="J165" s="67" t="s">
        <v>2629</v>
      </c>
      <c r="K165" s="67" t="s">
        <v>2597</v>
      </c>
      <c r="L165" s="67" t="s">
        <v>2597</v>
      </c>
      <c r="N165" s="67">
        <v>20.829959869384801</v>
      </c>
      <c r="O165" s="67">
        <v>93.073478698730497</v>
      </c>
      <c r="R165" s="353"/>
      <c r="S165" s="354"/>
      <c r="T165" s="91"/>
      <c r="U165" s="87"/>
      <c r="X165" s="454"/>
      <c r="Y165" s="454"/>
      <c r="Z165" s="454"/>
    </row>
    <row r="166" spans="1:26" s="67" customFormat="1" ht="14.25" hidden="1" customHeight="1">
      <c r="A166" s="354" t="s">
        <v>2624</v>
      </c>
      <c r="B166" s="350" t="s">
        <v>470</v>
      </c>
      <c r="C166" s="350" t="s">
        <v>2541</v>
      </c>
      <c r="D166" s="399"/>
      <c r="E166" s="350"/>
      <c r="F166" s="350"/>
      <c r="G166" s="350"/>
      <c r="H166" s="350"/>
      <c r="I166" s="350"/>
      <c r="J166" s="350" t="s">
        <v>2629</v>
      </c>
      <c r="K166" s="350" t="s">
        <v>2597</v>
      </c>
      <c r="L166" s="350" t="s">
        <v>2628</v>
      </c>
      <c r="M166" s="350"/>
      <c r="N166" s="350"/>
      <c r="O166" s="350"/>
      <c r="P166" s="350"/>
      <c r="Q166" s="350"/>
      <c r="R166" s="353"/>
      <c r="S166" s="354"/>
      <c r="T166" s="373"/>
      <c r="U166" s="355" t="s">
        <v>2538</v>
      </c>
      <c r="V166" s="350"/>
      <c r="W166" s="350"/>
      <c r="X166" s="454"/>
      <c r="Y166" s="454"/>
      <c r="Z166" s="454"/>
    </row>
    <row r="167" spans="1:26" s="67" customFormat="1" ht="14.25" hidden="1" customHeight="1">
      <c r="A167" s="459" t="s">
        <v>2624</v>
      </c>
      <c r="B167" s="454" t="s">
        <v>470</v>
      </c>
      <c r="C167" s="454" t="s">
        <v>2548</v>
      </c>
      <c r="D167" s="399"/>
      <c r="E167" s="350"/>
      <c r="F167" s="350"/>
      <c r="J167" s="67" t="s">
        <v>2629</v>
      </c>
      <c r="K167" s="67" t="s">
        <v>2597</v>
      </c>
      <c r="L167" s="67" t="s">
        <v>2597</v>
      </c>
      <c r="P167" s="350"/>
      <c r="R167" s="458"/>
      <c r="S167" s="354"/>
      <c r="T167" s="91"/>
      <c r="U167" s="460"/>
      <c r="W167" s="454"/>
      <c r="X167" s="454"/>
      <c r="Y167" s="454"/>
      <c r="Z167" s="454"/>
    </row>
    <row r="168" spans="1:26" s="67" customFormat="1" ht="14.25" hidden="1" customHeight="1">
      <c r="A168" s="357" t="s">
        <v>2624</v>
      </c>
      <c r="B168" s="357" t="s">
        <v>470</v>
      </c>
      <c r="C168" s="358" t="s">
        <v>2715</v>
      </c>
      <c r="D168" s="352"/>
      <c r="E168" s="350"/>
      <c r="J168" s="67" t="s">
        <v>2629</v>
      </c>
      <c r="K168" s="67" t="s">
        <v>2597</v>
      </c>
      <c r="L168" s="67" t="s">
        <v>2597</v>
      </c>
      <c r="R168" s="361"/>
      <c r="S168" s="354"/>
      <c r="T168" s="91">
        <v>43591</v>
      </c>
      <c r="U168" s="361"/>
      <c r="W168" s="353"/>
      <c r="X168" s="454"/>
      <c r="Y168" s="454"/>
      <c r="Z168" s="454"/>
    </row>
    <row r="169" spans="1:26" s="67" customFormat="1" ht="14.25" hidden="1" customHeight="1">
      <c r="A169" s="462" t="s">
        <v>2624</v>
      </c>
      <c r="B169" s="462" t="s">
        <v>470</v>
      </c>
      <c r="C169" s="463" t="s">
        <v>2718</v>
      </c>
      <c r="D169" s="457"/>
      <c r="E169" s="67">
        <v>196448</v>
      </c>
      <c r="F169" s="350"/>
      <c r="J169" s="67" t="s">
        <v>2629</v>
      </c>
      <c r="K169" s="350" t="s">
        <v>2597</v>
      </c>
      <c r="L169" s="350" t="s">
        <v>2597</v>
      </c>
      <c r="N169" s="67">
        <v>20.6728000640869</v>
      </c>
      <c r="O169" s="67">
        <v>93.243469238281307</v>
      </c>
      <c r="R169" s="466"/>
      <c r="S169" s="354"/>
      <c r="T169" s="91">
        <v>43591</v>
      </c>
      <c r="U169" s="466"/>
      <c r="W169" s="458"/>
      <c r="X169" s="454"/>
      <c r="Y169" s="454"/>
      <c r="Z169" s="454"/>
    </row>
    <row r="170" spans="1:26" s="67" customFormat="1" ht="14.25" hidden="1" customHeight="1">
      <c r="A170" s="354" t="s">
        <v>2624</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2624</v>
      </c>
      <c r="B171" s="454" t="s">
        <v>470</v>
      </c>
      <c r="C171" s="454" t="s">
        <v>2545</v>
      </c>
      <c r="D171" s="399"/>
      <c r="F171" s="454"/>
      <c r="J171" s="67" t="s">
        <v>2629</v>
      </c>
      <c r="K171" s="350" t="s">
        <v>2597</v>
      </c>
      <c r="L171" s="350" t="s">
        <v>2597</v>
      </c>
      <c r="Q171" s="454"/>
      <c r="R171" s="353"/>
      <c r="S171" s="354"/>
      <c r="T171" s="478"/>
      <c r="U171" s="87"/>
      <c r="X171" s="454"/>
      <c r="Y171" s="454"/>
      <c r="Z171" s="454"/>
    </row>
    <row r="172" spans="1:26" s="67" customFormat="1" ht="14.25" hidden="1" customHeight="1">
      <c r="A172" s="354" t="s">
        <v>2624</v>
      </c>
      <c r="B172" s="462" t="s">
        <v>470</v>
      </c>
      <c r="C172" s="456" t="s">
        <v>904</v>
      </c>
      <c r="D172" s="399" t="s">
        <v>2686</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2624</v>
      </c>
      <c r="B173" s="350" t="s">
        <v>470</v>
      </c>
      <c r="C173" s="350" t="s">
        <v>2547</v>
      </c>
      <c r="D173" s="399"/>
      <c r="E173" s="350"/>
      <c r="F173" s="350"/>
      <c r="G173" s="350"/>
      <c r="H173" s="350"/>
      <c r="I173" s="350"/>
      <c r="J173" s="350" t="s">
        <v>2629</v>
      </c>
      <c r="K173" s="350" t="s">
        <v>2597</v>
      </c>
      <c r="L173" s="350" t="s">
        <v>2628</v>
      </c>
      <c r="M173" s="350"/>
      <c r="N173" s="350"/>
      <c r="O173" s="350"/>
      <c r="P173" s="350"/>
      <c r="Q173" s="350"/>
      <c r="R173" s="353"/>
      <c r="S173" s="354"/>
      <c r="T173" s="373"/>
      <c r="U173" s="355" t="s">
        <v>2538</v>
      </c>
      <c r="V173" s="350"/>
      <c r="W173" s="350"/>
      <c r="X173" s="454"/>
      <c r="Y173" s="454"/>
      <c r="Z173" s="454"/>
    </row>
    <row r="174" spans="1:26" s="67" customFormat="1" ht="14.25" hidden="1" customHeight="1">
      <c r="A174" s="459" t="s">
        <v>2624</v>
      </c>
      <c r="B174" s="454" t="s">
        <v>470</v>
      </c>
      <c r="C174" s="454" t="s">
        <v>2543</v>
      </c>
      <c r="D174" s="399"/>
      <c r="J174" s="67" t="s">
        <v>2629</v>
      </c>
      <c r="K174" s="350" t="s">
        <v>2597</v>
      </c>
      <c r="L174" s="350" t="s">
        <v>2628</v>
      </c>
      <c r="R174" s="458"/>
      <c r="S174" s="354"/>
      <c r="T174" s="91"/>
      <c r="U174" s="460" t="s">
        <v>2538</v>
      </c>
      <c r="W174" s="454"/>
      <c r="X174" s="454"/>
      <c r="Y174" s="454"/>
      <c r="Z174" s="454"/>
    </row>
    <row r="175" spans="1:26" s="67" customFormat="1" ht="14.25" hidden="1" customHeight="1">
      <c r="A175" s="462" t="s">
        <v>2624</v>
      </c>
      <c r="B175" s="357" t="s">
        <v>470</v>
      </c>
      <c r="C175" s="463" t="s">
        <v>2709</v>
      </c>
      <c r="D175" s="457"/>
      <c r="E175" s="454"/>
      <c r="F175" s="454"/>
      <c r="G175" s="454"/>
      <c r="H175" s="454"/>
      <c r="I175" s="454"/>
      <c r="J175" s="67" t="s">
        <v>2629</v>
      </c>
      <c r="K175" s="350" t="s">
        <v>2597</v>
      </c>
      <c r="L175" s="350" t="s">
        <v>2597</v>
      </c>
      <c r="M175" s="454"/>
      <c r="N175" s="454"/>
      <c r="O175" s="454"/>
      <c r="Q175" s="454"/>
      <c r="R175" s="466"/>
      <c r="S175" s="459"/>
      <c r="T175" s="478">
        <v>43591</v>
      </c>
      <c r="U175" s="466"/>
      <c r="V175" s="454"/>
      <c r="W175" s="458"/>
      <c r="X175" s="454"/>
      <c r="Y175" s="454"/>
      <c r="Z175" s="454"/>
    </row>
    <row r="176" spans="1:26" s="67" customFormat="1" ht="14.25" hidden="1" customHeight="1">
      <c r="A176" s="354" t="s">
        <v>2624</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2624</v>
      </c>
      <c r="B177" s="351" t="s">
        <v>470</v>
      </c>
      <c r="C177" s="351" t="s">
        <v>912</v>
      </c>
      <c r="D177" s="399" t="s">
        <v>2686</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2624</v>
      </c>
      <c r="B178" s="351" t="s">
        <v>470</v>
      </c>
      <c r="C178" s="351" t="s">
        <v>2540</v>
      </c>
      <c r="D178" s="399"/>
      <c r="E178" s="67">
        <v>196465</v>
      </c>
      <c r="J178" s="67" t="s">
        <v>2629</v>
      </c>
      <c r="K178" s="67" t="s">
        <v>2597</v>
      </c>
      <c r="L178" s="350" t="s">
        <v>2597</v>
      </c>
      <c r="N178" s="67">
        <v>20.7270202636719</v>
      </c>
      <c r="O178" s="67">
        <v>93.249069213867202</v>
      </c>
      <c r="R178" s="353"/>
      <c r="S178" s="354"/>
      <c r="T178" s="91"/>
      <c r="U178" s="87"/>
      <c r="X178" s="454"/>
      <c r="Y178" s="454"/>
      <c r="Z178" s="454"/>
    </row>
    <row r="179" spans="1:26" s="67" customFormat="1" ht="14.25" hidden="1" customHeight="1">
      <c r="A179" s="354" t="s">
        <v>2624</v>
      </c>
      <c r="B179" s="351" t="s">
        <v>470</v>
      </c>
      <c r="C179" s="351" t="s">
        <v>2539</v>
      </c>
      <c r="D179" s="399"/>
      <c r="F179" s="351"/>
      <c r="J179" s="67" t="s">
        <v>2629</v>
      </c>
      <c r="K179" s="350" t="s">
        <v>2597</v>
      </c>
      <c r="L179" s="350" t="s">
        <v>2628</v>
      </c>
      <c r="R179" s="85"/>
      <c r="S179" s="354"/>
      <c r="T179" s="91"/>
      <c r="U179" s="87" t="s">
        <v>2538</v>
      </c>
      <c r="X179" s="454"/>
      <c r="Y179" s="454"/>
      <c r="Z179" s="454"/>
    </row>
    <row r="180" spans="1:26" s="67" customFormat="1" ht="14.25" hidden="1" customHeight="1">
      <c r="A180" s="354" t="s">
        <v>2624</v>
      </c>
      <c r="B180" s="351" t="s">
        <v>470</v>
      </c>
      <c r="C180" s="351" t="s">
        <v>2546</v>
      </c>
      <c r="D180" s="399"/>
      <c r="J180" s="67" t="s">
        <v>2629</v>
      </c>
      <c r="K180" s="350" t="s">
        <v>2597</v>
      </c>
      <c r="L180" s="350" t="s">
        <v>2597</v>
      </c>
      <c r="N180" s="350"/>
      <c r="O180" s="350"/>
      <c r="P180" s="350"/>
      <c r="R180" s="85"/>
      <c r="S180" s="354"/>
      <c r="T180" s="91"/>
      <c r="U180" s="87"/>
      <c r="W180" s="350"/>
      <c r="X180" s="454"/>
      <c r="Y180" s="454"/>
      <c r="Z180" s="454"/>
    </row>
    <row r="181" spans="1:26" s="67" customFormat="1" ht="14.25" hidden="1" customHeight="1">
      <c r="A181" s="354" t="s">
        <v>2624</v>
      </c>
      <c r="B181" s="351" t="s">
        <v>470</v>
      </c>
      <c r="C181" s="351" t="s">
        <v>2767</v>
      </c>
      <c r="D181" s="399"/>
      <c r="E181" s="350">
        <v>196453</v>
      </c>
      <c r="F181" s="456"/>
      <c r="G181" s="350"/>
      <c r="H181" s="350"/>
      <c r="I181" s="350"/>
      <c r="J181" s="350" t="s">
        <v>2629</v>
      </c>
      <c r="K181" s="350" t="s">
        <v>2597</v>
      </c>
      <c r="L181" s="350" t="s">
        <v>2597</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2624</v>
      </c>
      <c r="B182" s="351" t="s">
        <v>470</v>
      </c>
      <c r="C182" s="351" t="s">
        <v>2768</v>
      </c>
      <c r="D182" s="399"/>
      <c r="E182" s="67">
        <v>196453</v>
      </c>
      <c r="J182" s="67" t="s">
        <v>2629</v>
      </c>
      <c r="K182" s="350" t="s">
        <v>2597</v>
      </c>
      <c r="L182" s="350" t="s">
        <v>2597</v>
      </c>
      <c r="N182" s="67">
        <v>20.686229705810501</v>
      </c>
      <c r="O182" s="67">
        <v>93.220001220703097</v>
      </c>
      <c r="R182" s="462"/>
      <c r="S182" s="463"/>
      <c r="T182" s="91"/>
      <c r="U182" s="87"/>
      <c r="X182" s="454"/>
      <c r="Y182" s="454"/>
      <c r="Z182" s="454"/>
    </row>
    <row r="183" spans="1:26" s="67" customFormat="1" ht="14.25" hidden="1" customHeight="1">
      <c r="A183" s="459" t="s">
        <v>2624</v>
      </c>
      <c r="B183" s="456" t="s">
        <v>470</v>
      </c>
      <c r="C183" s="456" t="s">
        <v>2550</v>
      </c>
      <c r="D183" s="399"/>
      <c r="E183" s="67">
        <v>196464</v>
      </c>
      <c r="J183" s="67" t="s">
        <v>2629</v>
      </c>
      <c r="K183" s="350" t="s">
        <v>2597</v>
      </c>
      <c r="L183" s="350" t="s">
        <v>2597</v>
      </c>
      <c r="N183" s="67">
        <v>20.7529296875</v>
      </c>
      <c r="O183" s="67">
        <v>93.267311096191406</v>
      </c>
      <c r="R183" s="458"/>
      <c r="S183" s="354"/>
      <c r="T183" s="91"/>
      <c r="U183" s="460"/>
      <c r="W183" s="454"/>
      <c r="X183" s="454"/>
      <c r="Y183" s="454"/>
      <c r="Z183" s="454"/>
    </row>
    <row r="184" spans="1:26" s="67" customFormat="1" ht="14.25" hidden="1" customHeight="1">
      <c r="A184" s="459" t="s">
        <v>2624</v>
      </c>
      <c r="B184" s="456" t="s">
        <v>470</v>
      </c>
      <c r="C184" s="456" t="s">
        <v>2551</v>
      </c>
      <c r="D184" s="399"/>
      <c r="J184" s="67" t="s">
        <v>2629</v>
      </c>
      <c r="K184" s="67" t="s">
        <v>2597</v>
      </c>
      <c r="L184" s="67" t="s">
        <v>2597</v>
      </c>
      <c r="P184" s="350"/>
      <c r="R184" s="458"/>
      <c r="S184" s="354"/>
      <c r="T184" s="91"/>
      <c r="U184" s="460"/>
      <c r="W184" s="454"/>
      <c r="X184" s="454"/>
      <c r="Y184" s="454"/>
      <c r="Z184" s="454"/>
    </row>
    <row r="185" spans="1:26" s="67" customFormat="1" ht="14.25" hidden="1" customHeight="1">
      <c r="A185" s="462" t="s">
        <v>2624</v>
      </c>
      <c r="B185" s="462" t="s">
        <v>470</v>
      </c>
      <c r="C185" s="463" t="s">
        <v>2708</v>
      </c>
      <c r="D185" s="457"/>
      <c r="E185" s="67">
        <v>196645</v>
      </c>
      <c r="J185" s="67" t="s">
        <v>2629</v>
      </c>
      <c r="K185" s="67" t="s">
        <v>2597</v>
      </c>
      <c r="L185" s="350" t="s">
        <v>2597</v>
      </c>
      <c r="N185" s="67">
        <v>20.718429565429702</v>
      </c>
      <c r="O185" s="67">
        <v>93.059432983398395</v>
      </c>
      <c r="R185" s="466"/>
      <c r="S185" s="354"/>
      <c r="T185" s="91">
        <v>43591</v>
      </c>
      <c r="U185" s="466"/>
      <c r="W185" s="458"/>
      <c r="X185" s="454"/>
      <c r="Y185" s="454"/>
      <c r="Z185" s="454"/>
    </row>
    <row r="186" spans="1:26" s="67" customFormat="1" ht="14.25" hidden="1" customHeight="1">
      <c r="A186" s="357" t="s">
        <v>2624</v>
      </c>
      <c r="B186" s="357" t="s">
        <v>470</v>
      </c>
      <c r="C186" s="358" t="s">
        <v>2716</v>
      </c>
      <c r="D186" s="352"/>
      <c r="J186" s="67" t="s">
        <v>2629</v>
      </c>
      <c r="K186" s="67" t="s">
        <v>2597</v>
      </c>
      <c r="L186" s="350" t="s">
        <v>2597</v>
      </c>
      <c r="R186" s="361"/>
      <c r="S186" s="354"/>
      <c r="T186" s="91">
        <v>43591</v>
      </c>
      <c r="U186" s="361"/>
      <c r="W186" s="353"/>
      <c r="X186" s="454"/>
      <c r="Y186" s="454"/>
      <c r="Z186" s="454"/>
    </row>
    <row r="187" spans="1:26" s="67" customFormat="1" ht="14.25" hidden="1" customHeight="1">
      <c r="A187" s="459" t="s">
        <v>2624</v>
      </c>
      <c r="B187" s="456" t="s">
        <v>470</v>
      </c>
      <c r="C187" s="456" t="s">
        <v>897</v>
      </c>
      <c r="D187" s="399" t="s">
        <v>2686</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2624</v>
      </c>
      <c r="B188" s="357" t="s">
        <v>470</v>
      </c>
      <c r="C188" s="358" t="s">
        <v>2706</v>
      </c>
      <c r="D188" s="352"/>
      <c r="E188" s="350">
        <v>196626</v>
      </c>
      <c r="F188" s="350"/>
      <c r="J188" s="67" t="s">
        <v>2629</v>
      </c>
      <c r="K188" s="350" t="s">
        <v>2597</v>
      </c>
      <c r="L188" s="350" t="s">
        <v>2597</v>
      </c>
      <c r="N188" s="67">
        <v>20.648319244384801</v>
      </c>
      <c r="O188" s="67">
        <v>93.085273742675795</v>
      </c>
      <c r="R188" s="361"/>
      <c r="S188" s="354"/>
      <c r="T188" s="91">
        <v>43591</v>
      </c>
      <c r="U188" s="361"/>
      <c r="W188" s="353"/>
      <c r="X188" s="454"/>
      <c r="Y188" s="454"/>
      <c r="Z188" s="454"/>
    </row>
    <row r="189" spans="1:26" s="67" customFormat="1" ht="14.25" hidden="1" customHeight="1">
      <c r="A189" s="462" t="s">
        <v>2624</v>
      </c>
      <c r="B189" s="462" t="s">
        <v>470</v>
      </c>
      <c r="C189" s="463" t="s">
        <v>2703</v>
      </c>
      <c r="D189" s="457"/>
      <c r="F189" s="350"/>
      <c r="J189" s="67" t="s">
        <v>2629</v>
      </c>
      <c r="K189" s="350" t="s">
        <v>2597</v>
      </c>
      <c r="L189" s="350" t="s">
        <v>2597</v>
      </c>
      <c r="R189" s="466"/>
      <c r="S189" s="354"/>
      <c r="T189" s="91">
        <v>43591</v>
      </c>
      <c r="U189" s="466"/>
      <c r="W189" s="458"/>
      <c r="X189" s="454"/>
      <c r="Y189" s="454"/>
      <c r="Z189" s="454"/>
    </row>
    <row r="190" spans="1:26" s="67" customFormat="1" ht="14.25" hidden="1" customHeight="1">
      <c r="A190" s="357" t="s">
        <v>2624</v>
      </c>
      <c r="B190" s="357" t="s">
        <v>470</v>
      </c>
      <c r="C190" s="358" t="s">
        <v>2705</v>
      </c>
      <c r="D190" s="352"/>
      <c r="E190" s="67">
        <v>196621</v>
      </c>
      <c r="J190" s="67" t="s">
        <v>2629</v>
      </c>
      <c r="K190" s="350" t="s">
        <v>2597</v>
      </c>
      <c r="L190" s="350" t="s">
        <v>2597</v>
      </c>
      <c r="N190" s="67">
        <v>20.675979614257798</v>
      </c>
      <c r="O190" s="350">
        <v>93.098922729492202</v>
      </c>
      <c r="R190" s="361"/>
      <c r="S190" s="354"/>
      <c r="T190" s="91">
        <v>43591</v>
      </c>
      <c r="U190" s="361"/>
      <c r="W190" s="353"/>
      <c r="X190" s="454"/>
      <c r="Y190" s="454"/>
      <c r="Z190" s="454"/>
    </row>
    <row r="191" spans="1:26" s="67" customFormat="1" ht="14.25" hidden="1" customHeight="1">
      <c r="A191" s="459" t="s">
        <v>2624</v>
      </c>
      <c r="B191" s="456" t="s">
        <v>470</v>
      </c>
      <c r="C191" s="456" t="s">
        <v>2544</v>
      </c>
      <c r="D191" s="399"/>
      <c r="E191" s="350"/>
      <c r="F191" s="350"/>
      <c r="J191" s="67" t="s">
        <v>2629</v>
      </c>
      <c r="K191" s="350" t="s">
        <v>2597</v>
      </c>
      <c r="L191" s="350" t="s">
        <v>2597</v>
      </c>
      <c r="R191" s="458"/>
      <c r="S191" s="354"/>
      <c r="T191" s="91"/>
      <c r="U191" s="460"/>
      <c r="W191" s="454"/>
      <c r="X191" s="454"/>
      <c r="Y191" s="454"/>
      <c r="Z191" s="454"/>
    </row>
    <row r="192" spans="1:26" s="67" customFormat="1" ht="14.25" hidden="1" customHeight="1">
      <c r="A192" s="462" t="s">
        <v>2624</v>
      </c>
      <c r="B192" s="462" t="s">
        <v>470</v>
      </c>
      <c r="C192" s="463" t="s">
        <v>2702</v>
      </c>
      <c r="D192" s="457"/>
      <c r="E192" s="350"/>
      <c r="F192" s="350"/>
      <c r="G192" s="350"/>
      <c r="H192" s="350"/>
      <c r="I192" s="350"/>
      <c r="J192" s="67" t="s">
        <v>2629</v>
      </c>
      <c r="K192" s="350" t="s">
        <v>2597</v>
      </c>
      <c r="L192" s="350" t="s">
        <v>2597</v>
      </c>
      <c r="N192" s="350"/>
      <c r="O192" s="350"/>
      <c r="P192" s="350"/>
      <c r="R192" s="466"/>
      <c r="S192" s="354"/>
      <c r="T192" s="91">
        <v>43591</v>
      </c>
      <c r="U192" s="466"/>
      <c r="V192" s="350"/>
      <c r="W192" s="458"/>
      <c r="X192" s="454"/>
      <c r="Y192" s="454"/>
      <c r="Z192" s="454"/>
    </row>
    <row r="193" spans="1:26" s="67" customFormat="1" ht="14.25" hidden="1" customHeight="1">
      <c r="A193" s="357" t="s">
        <v>2624</v>
      </c>
      <c r="B193" s="357" t="s">
        <v>470</v>
      </c>
      <c r="C193" s="358" t="s">
        <v>2707</v>
      </c>
      <c r="D193" s="352"/>
      <c r="E193" s="67">
        <v>196636</v>
      </c>
      <c r="J193" s="67" t="s">
        <v>2629</v>
      </c>
      <c r="K193" s="350" t="s">
        <v>2597</v>
      </c>
      <c r="L193" s="350" t="s">
        <v>2597</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2624</v>
      </c>
      <c r="B194" s="351" t="s">
        <v>470</v>
      </c>
      <c r="C194" s="351" t="s">
        <v>899</v>
      </c>
      <c r="D194" s="399" t="s">
        <v>2686</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2624</v>
      </c>
      <c r="B195" s="462" t="s">
        <v>470</v>
      </c>
      <c r="C195" s="463" t="s">
        <v>2704</v>
      </c>
      <c r="D195" s="457"/>
      <c r="E195" s="350">
        <v>196622</v>
      </c>
      <c r="J195" s="67" t="s">
        <v>2629</v>
      </c>
      <c r="K195" s="67" t="s">
        <v>2597</v>
      </c>
      <c r="L195" s="350" t="s">
        <v>2597</v>
      </c>
      <c r="N195" s="350">
        <v>20.666166305541999</v>
      </c>
      <c r="O195" s="350">
        <v>93.094825744628906</v>
      </c>
      <c r="R195" s="466"/>
      <c r="S195" s="459"/>
      <c r="T195" s="91">
        <v>43591</v>
      </c>
      <c r="U195" s="466"/>
      <c r="W195" s="458"/>
      <c r="X195" s="454"/>
      <c r="Y195" s="454"/>
      <c r="Z195" s="454"/>
    </row>
    <row r="196" spans="1:26" s="67" customFormat="1" ht="14.25" hidden="1" customHeight="1">
      <c r="A196" s="354" t="s">
        <v>2624</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2624</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2624</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2624</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2624</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2624</v>
      </c>
      <c r="B201" s="351" t="s">
        <v>398</v>
      </c>
      <c r="C201" s="351" t="s">
        <v>400</v>
      </c>
      <c r="D201" s="399" t="s">
        <v>2686</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2624</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2624</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2624</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2624</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2624</v>
      </c>
      <c r="B206" s="351" t="s">
        <v>398</v>
      </c>
      <c r="C206" s="351" t="s">
        <v>399</v>
      </c>
      <c r="D206" s="399" t="s">
        <v>3079</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2624</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2624</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2624</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2624</v>
      </c>
      <c r="B210" s="351" t="s">
        <v>401</v>
      </c>
      <c r="C210" s="351" t="s">
        <v>2772</v>
      </c>
      <c r="D210" s="399"/>
      <c r="E210" s="351">
        <v>196310</v>
      </c>
      <c r="J210" s="67" t="s">
        <v>2629</v>
      </c>
      <c r="K210" s="67" t="s">
        <v>2597</v>
      </c>
      <c r="L210" s="350" t="s">
        <v>2597</v>
      </c>
      <c r="M210" s="67" t="s">
        <v>2599</v>
      </c>
      <c r="N210" s="67">
        <v>20.61741065979</v>
      </c>
      <c r="O210" s="67">
        <v>92.932502746582003</v>
      </c>
      <c r="R210" s="353"/>
      <c r="S210" s="354"/>
      <c r="T210" s="91"/>
      <c r="U210" s="87"/>
      <c r="V210" s="67" t="s">
        <v>2515</v>
      </c>
      <c r="W210" s="350"/>
      <c r="X210" s="454"/>
      <c r="Y210" s="454"/>
      <c r="Z210" s="454"/>
    </row>
    <row r="211" spans="1:26" s="67" customFormat="1" ht="14.25" hidden="1" customHeight="1">
      <c r="A211" s="354" t="s">
        <v>2624</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2624</v>
      </c>
      <c r="B212" s="351" t="s">
        <v>401</v>
      </c>
      <c r="C212" s="351" t="s">
        <v>411</v>
      </c>
      <c r="D212" s="399" t="s">
        <v>3079</v>
      </c>
      <c r="E212" s="350" t="s">
        <v>1338</v>
      </c>
      <c r="F212" s="350" t="s">
        <v>830</v>
      </c>
      <c r="G212" s="350" t="s">
        <v>531</v>
      </c>
      <c r="H212" s="350" t="s">
        <v>41</v>
      </c>
      <c r="I212" s="350" t="s">
        <v>2949</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2624</v>
      </c>
      <c r="B213" s="351" t="s">
        <v>401</v>
      </c>
      <c r="C213" s="351" t="s">
        <v>2514</v>
      </c>
      <c r="D213" s="399"/>
      <c r="E213" s="351">
        <v>220611</v>
      </c>
      <c r="F213" s="350"/>
      <c r="H213" s="350"/>
      <c r="I213" s="350"/>
      <c r="J213" s="350" t="s">
        <v>2629</v>
      </c>
      <c r="K213" s="350" t="s">
        <v>2597</v>
      </c>
      <c r="L213" s="350" t="s">
        <v>2597</v>
      </c>
      <c r="M213" s="350" t="s">
        <v>2599</v>
      </c>
      <c r="N213" s="350"/>
      <c r="O213" s="350"/>
      <c r="Q213" s="350"/>
      <c r="R213" s="353"/>
      <c r="S213" s="354"/>
      <c r="T213" s="373"/>
      <c r="U213" s="355"/>
      <c r="W213" s="350"/>
      <c r="X213" s="454"/>
      <c r="Y213" s="454"/>
      <c r="Z213" s="454"/>
    </row>
    <row r="214" spans="1:26" s="67" customFormat="1" ht="14.25" hidden="1" customHeight="1">
      <c r="A214" s="354" t="s">
        <v>2624</v>
      </c>
      <c r="B214" s="351" t="s">
        <v>401</v>
      </c>
      <c r="C214" s="351" t="s">
        <v>854</v>
      </c>
      <c r="D214" s="399" t="s">
        <v>2686</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2624</v>
      </c>
      <c r="B215" s="357" t="s">
        <v>401</v>
      </c>
      <c r="C215" s="358" t="s">
        <v>2749</v>
      </c>
      <c r="D215" s="352"/>
      <c r="E215" s="350" t="s">
        <v>2771</v>
      </c>
      <c r="F215" s="350"/>
      <c r="G215" s="350"/>
      <c r="H215" s="350"/>
      <c r="I215" s="350"/>
      <c r="J215" s="67" t="s">
        <v>2629</v>
      </c>
      <c r="K215" s="350" t="s">
        <v>2597</v>
      </c>
      <c r="L215" s="350" t="s">
        <v>2597</v>
      </c>
      <c r="R215" s="361"/>
      <c r="S215" s="354"/>
      <c r="T215" s="91">
        <v>43591</v>
      </c>
      <c r="U215" s="361"/>
      <c r="W215" s="353"/>
      <c r="X215" s="454"/>
      <c r="Y215" s="454"/>
      <c r="Z215" s="454"/>
    </row>
    <row r="216" spans="1:26" s="67" customFormat="1" ht="14.25" hidden="1" customHeight="1">
      <c r="A216" s="354" t="s">
        <v>2624</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2624</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2624</v>
      </c>
      <c r="B218" s="357" t="s">
        <v>401</v>
      </c>
      <c r="C218" s="358" t="s">
        <v>2748</v>
      </c>
      <c r="D218" s="352"/>
      <c r="E218" s="67">
        <v>197470</v>
      </c>
      <c r="J218" s="67" t="s">
        <v>2629</v>
      </c>
      <c r="K218" s="350" t="s">
        <v>2597</v>
      </c>
      <c r="L218" s="350" t="s">
        <v>2597</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2624</v>
      </c>
      <c r="B219" s="351" t="s">
        <v>401</v>
      </c>
      <c r="C219" s="351" t="s">
        <v>2505</v>
      </c>
      <c r="D219" s="399"/>
      <c r="E219" s="67">
        <v>197561</v>
      </c>
      <c r="F219" s="67" t="s">
        <v>2505</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2624</v>
      </c>
      <c r="B220" s="351" t="s">
        <v>401</v>
      </c>
      <c r="C220" s="351" t="s">
        <v>2536</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2624</v>
      </c>
      <c r="B221" s="351" t="s">
        <v>401</v>
      </c>
      <c r="C221" s="351" t="s">
        <v>2528</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2624</v>
      </c>
      <c r="B222" s="351" t="s">
        <v>401</v>
      </c>
      <c r="C222" s="351" t="s">
        <v>2513</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2624</v>
      </c>
      <c r="B223" s="351" t="s">
        <v>401</v>
      </c>
      <c r="C223" s="351" t="s">
        <v>2510</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2624</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2624</v>
      </c>
      <c r="B225" s="351" t="s">
        <v>401</v>
      </c>
      <c r="C225" s="351" t="s">
        <v>409</v>
      </c>
      <c r="D225" s="399" t="s">
        <v>3079</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2624</v>
      </c>
      <c r="B226" s="351" t="s">
        <v>401</v>
      </c>
      <c r="C226" s="351" t="s">
        <v>2770</v>
      </c>
      <c r="D226" s="399"/>
      <c r="E226" s="67">
        <v>197547</v>
      </c>
      <c r="F226" s="350"/>
      <c r="J226" s="67" t="s">
        <v>793</v>
      </c>
      <c r="K226" s="67" t="s">
        <v>793</v>
      </c>
      <c r="L226" s="67" t="s">
        <v>793</v>
      </c>
      <c r="N226" s="67">
        <v>19.9233303070068</v>
      </c>
      <c r="O226" s="67">
        <v>93.018592834472699</v>
      </c>
      <c r="R226" s="357"/>
      <c r="S226" s="358"/>
      <c r="T226" s="91"/>
      <c r="U226" s="87"/>
      <c r="V226" s="351" t="s">
        <v>2512</v>
      </c>
      <c r="W226" s="350"/>
      <c r="X226" s="454"/>
      <c r="Y226" s="454"/>
      <c r="Z226" s="454"/>
    </row>
    <row r="227" spans="1:26" s="67" customFormat="1" ht="14.25" hidden="1" customHeight="1">
      <c r="A227" s="354" t="s">
        <v>2624</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2624</v>
      </c>
      <c r="B228" s="351" t="s">
        <v>401</v>
      </c>
      <c r="C228" s="351" t="s">
        <v>2527</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2624</v>
      </c>
      <c r="B229" s="351" t="s">
        <v>401</v>
      </c>
      <c r="C229" s="351" t="s">
        <v>2537</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2624</v>
      </c>
      <c r="B230" s="351" t="s">
        <v>401</v>
      </c>
      <c r="C230" s="351" t="s">
        <v>2508</v>
      </c>
      <c r="D230" s="399"/>
      <c r="E230" s="67">
        <v>197565</v>
      </c>
      <c r="F230" s="67" t="s">
        <v>2505</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2624</v>
      </c>
      <c r="B231" s="351" t="s">
        <v>401</v>
      </c>
      <c r="C231" s="351" t="s">
        <v>2531</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2624</v>
      </c>
      <c r="B232" s="351" t="s">
        <v>401</v>
      </c>
      <c r="C232" s="351" t="s">
        <v>2535</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2624</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2624</v>
      </c>
      <c r="B234" s="351" t="s">
        <v>401</v>
      </c>
      <c r="C234" s="351" t="s">
        <v>405</v>
      </c>
      <c r="D234" s="399" t="s">
        <v>3079</v>
      </c>
      <c r="E234" s="67" t="s">
        <v>1336</v>
      </c>
      <c r="F234" s="351" t="s">
        <v>1718</v>
      </c>
      <c r="G234" s="67" t="s">
        <v>1719</v>
      </c>
      <c r="H234" s="67" t="s">
        <v>41</v>
      </c>
      <c r="I234" s="454" t="s">
        <v>2949</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2624</v>
      </c>
      <c r="B235" s="351" t="s">
        <v>401</v>
      </c>
      <c r="C235" s="351" t="s">
        <v>406</v>
      </c>
      <c r="D235" s="399" t="s">
        <v>3079</v>
      </c>
      <c r="E235" s="67" t="s">
        <v>1336</v>
      </c>
      <c r="F235" s="67" t="s">
        <v>1718</v>
      </c>
      <c r="G235" s="67" t="s">
        <v>1719</v>
      </c>
      <c r="H235" s="67" t="s">
        <v>41</v>
      </c>
      <c r="I235" s="454" t="s">
        <v>2949</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2624</v>
      </c>
      <c r="B236" s="351" t="s">
        <v>401</v>
      </c>
      <c r="C236" s="351" t="s">
        <v>2534</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2624</v>
      </c>
      <c r="B237" s="351" t="s">
        <v>401</v>
      </c>
      <c r="C237" s="351" t="s">
        <v>2525</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2624</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2624</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2624</v>
      </c>
      <c r="B240" s="351" t="s">
        <v>401</v>
      </c>
      <c r="C240" s="351" t="s">
        <v>2615</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2624</v>
      </c>
      <c r="B241" s="351" t="s">
        <v>401</v>
      </c>
      <c r="C241" s="351" t="s">
        <v>2529</v>
      </c>
      <c r="D241" s="352" t="s">
        <v>1635</v>
      </c>
      <c r="E241" s="67">
        <v>197442</v>
      </c>
      <c r="J241" s="67" t="s">
        <v>793</v>
      </c>
      <c r="K241" s="67" t="s">
        <v>793</v>
      </c>
      <c r="L241" s="163" t="s">
        <v>793</v>
      </c>
      <c r="M241" s="67" t="s">
        <v>2614</v>
      </c>
      <c r="R241" s="351"/>
      <c r="S241" s="463"/>
      <c r="T241" s="91"/>
      <c r="U241" s="87"/>
      <c r="W241" s="350"/>
      <c r="X241" s="454"/>
      <c r="Y241" s="454"/>
      <c r="Z241" s="454"/>
    </row>
    <row r="242" spans="1:26" s="67" customFormat="1" ht="14.25" hidden="1" customHeight="1">
      <c r="A242" s="354" t="s">
        <v>2624</v>
      </c>
      <c r="B242" s="351" t="s">
        <v>401</v>
      </c>
      <c r="C242" s="351" t="s">
        <v>2530</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2624</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2624</v>
      </c>
      <c r="B244" s="351" t="s">
        <v>401</v>
      </c>
      <c r="C244" s="351" t="s">
        <v>404</v>
      </c>
      <c r="D244" s="399" t="s">
        <v>3079</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2624</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2624</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2624</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2624</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2624</v>
      </c>
      <c r="B249" s="351" t="s">
        <v>401</v>
      </c>
      <c r="C249" s="351" t="s">
        <v>2533</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2624</v>
      </c>
      <c r="B250" s="351" t="s">
        <v>401</v>
      </c>
      <c r="C250" s="351" t="s">
        <v>2532</v>
      </c>
      <c r="D250" s="399" t="s">
        <v>1635</v>
      </c>
      <c r="E250" s="67">
        <v>197401</v>
      </c>
      <c r="F250" s="67" t="s">
        <v>2532</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2624</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2624</v>
      </c>
      <c r="B252" s="351" t="s">
        <v>401</v>
      </c>
      <c r="C252" s="351" t="s">
        <v>2769</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2624</v>
      </c>
      <c r="B253" s="351" t="s">
        <v>401</v>
      </c>
      <c r="C253" s="351" t="s">
        <v>2526</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2624</v>
      </c>
      <c r="B254" s="351" t="s">
        <v>401</v>
      </c>
      <c r="C254" s="351" t="s">
        <v>2506</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2624</v>
      </c>
      <c r="B255" s="351" t="s">
        <v>401</v>
      </c>
      <c r="C255" s="351" t="s">
        <v>2507</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2624</v>
      </c>
      <c r="B256" s="351" t="s">
        <v>401</v>
      </c>
      <c r="C256" s="351" t="s">
        <v>2511</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2624</v>
      </c>
      <c r="B257" s="351" t="s">
        <v>401</v>
      </c>
      <c r="C257" s="351" t="s">
        <v>2509</v>
      </c>
      <c r="D257" s="399"/>
      <c r="E257" s="350">
        <v>197574</v>
      </c>
      <c r="F257" s="67" t="s">
        <v>2669</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2624</v>
      </c>
      <c r="B258" s="351" t="s">
        <v>401</v>
      </c>
      <c r="C258" s="351" t="s">
        <v>2524</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2624</v>
      </c>
      <c r="B259" s="357" t="s">
        <v>451</v>
      </c>
      <c r="C259" s="358" t="s">
        <v>2690</v>
      </c>
      <c r="D259" s="352"/>
      <c r="E259" s="350">
        <v>196217</v>
      </c>
      <c r="F259" s="350"/>
      <c r="J259" s="67" t="s">
        <v>2629</v>
      </c>
      <c r="K259" s="350" t="s">
        <v>2597</v>
      </c>
      <c r="L259" s="350" t="s">
        <v>2597</v>
      </c>
      <c r="N259" s="67">
        <v>20.643140792846701</v>
      </c>
      <c r="O259" s="67">
        <v>92.851875305175795</v>
      </c>
      <c r="R259" s="361"/>
      <c r="S259" s="354"/>
      <c r="T259" s="91">
        <v>43591</v>
      </c>
      <c r="U259" s="361"/>
      <c r="W259" s="353"/>
      <c r="X259" s="454"/>
      <c r="Y259" s="454"/>
      <c r="Z259" s="454"/>
    </row>
    <row r="260" spans="1:26" s="67" customFormat="1" ht="14.25" hidden="1" customHeight="1">
      <c r="A260" s="357" t="s">
        <v>2624</v>
      </c>
      <c r="B260" s="357" t="s">
        <v>451</v>
      </c>
      <c r="C260" s="358" t="s">
        <v>2773</v>
      </c>
      <c r="D260" s="352"/>
      <c r="E260" s="350">
        <v>196309</v>
      </c>
      <c r="J260" s="67" t="s">
        <v>2629</v>
      </c>
      <c r="K260" s="350" t="s">
        <v>2597</v>
      </c>
      <c r="L260" s="350" t="s">
        <v>2597</v>
      </c>
      <c r="N260" s="350">
        <v>20.623949050903299</v>
      </c>
      <c r="O260" s="350">
        <v>92.950813293457003</v>
      </c>
      <c r="R260" s="361"/>
      <c r="S260" s="86"/>
      <c r="T260" s="91">
        <v>43591</v>
      </c>
      <c r="U260" s="361"/>
      <c r="V260" s="67" t="s">
        <v>2725</v>
      </c>
      <c r="W260" s="353"/>
      <c r="X260" s="454"/>
      <c r="Y260" s="454"/>
      <c r="Z260" s="454"/>
    </row>
    <row r="261" spans="1:26" s="67" customFormat="1" ht="14.25" hidden="1" customHeight="1">
      <c r="A261" s="357" t="s">
        <v>2624</v>
      </c>
      <c r="B261" s="357" t="s">
        <v>451</v>
      </c>
      <c r="C261" s="358" t="s">
        <v>2724</v>
      </c>
      <c r="D261" s="352"/>
      <c r="J261" s="67" t="s">
        <v>2629</v>
      </c>
      <c r="K261" s="350" t="s">
        <v>2597</v>
      </c>
      <c r="L261" s="350" t="s">
        <v>2597</v>
      </c>
      <c r="O261" s="350"/>
      <c r="R261" s="361"/>
      <c r="S261" s="354"/>
      <c r="T261" s="91">
        <v>43591</v>
      </c>
      <c r="U261" s="361"/>
      <c r="W261" s="353"/>
      <c r="X261" s="454"/>
      <c r="Y261" s="454"/>
      <c r="Z261" s="454"/>
    </row>
    <row r="262" spans="1:26" s="67" customFormat="1" ht="14.25" hidden="1" customHeight="1">
      <c r="A262" s="357" t="s">
        <v>2624</v>
      </c>
      <c r="B262" s="357" t="s">
        <v>451</v>
      </c>
      <c r="C262" s="358" t="s">
        <v>2728</v>
      </c>
      <c r="D262" s="352"/>
      <c r="E262" s="67">
        <v>196329</v>
      </c>
      <c r="J262" s="67" t="s">
        <v>2629</v>
      </c>
      <c r="K262" s="67" t="s">
        <v>2597</v>
      </c>
      <c r="L262" s="67" t="s">
        <v>2597</v>
      </c>
      <c r="N262" s="67">
        <v>20.5511798858643</v>
      </c>
      <c r="O262" s="67">
        <v>93.065322875976605</v>
      </c>
      <c r="R262" s="361"/>
      <c r="S262" s="354"/>
      <c r="T262" s="91">
        <v>43591</v>
      </c>
      <c r="U262" s="361"/>
      <c r="W262" s="353"/>
      <c r="X262" s="454"/>
      <c r="Y262" s="454"/>
      <c r="Z262" s="454"/>
    </row>
    <row r="263" spans="1:26" s="67" customFormat="1" ht="14.25" hidden="1" customHeight="1">
      <c r="A263" s="354" t="s">
        <v>2624</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2624</v>
      </c>
      <c r="B264" s="357" t="s">
        <v>451</v>
      </c>
      <c r="C264" s="358" t="s">
        <v>2721</v>
      </c>
      <c r="D264" s="352"/>
      <c r="E264" s="67">
        <v>196218</v>
      </c>
      <c r="J264" s="67" t="s">
        <v>2629</v>
      </c>
      <c r="K264" s="350" t="s">
        <v>2597</v>
      </c>
      <c r="L264" s="350" t="s">
        <v>2597</v>
      </c>
      <c r="N264" s="67">
        <v>20.709392547607401</v>
      </c>
      <c r="O264" s="350">
        <v>92.815086364746094</v>
      </c>
      <c r="R264" s="361"/>
      <c r="S264" s="86"/>
      <c r="T264" s="91">
        <v>43591</v>
      </c>
      <c r="U264" s="361"/>
      <c r="W264" s="353"/>
      <c r="X264" s="454"/>
      <c r="Y264" s="454"/>
      <c r="Z264" s="454"/>
    </row>
    <row r="265" spans="1:26" s="67" customFormat="1" ht="14.25" hidden="1" customHeight="1">
      <c r="A265" s="354" t="s">
        <v>2624</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2624</v>
      </c>
      <c r="B266" s="357" t="s">
        <v>451</v>
      </c>
      <c r="C266" s="358" t="s">
        <v>2722</v>
      </c>
      <c r="D266" s="352"/>
      <c r="E266" s="67">
        <v>196403</v>
      </c>
      <c r="J266" s="67" t="s">
        <v>2629</v>
      </c>
      <c r="K266" s="350" t="s">
        <v>2597</v>
      </c>
      <c r="L266" s="350" t="s">
        <v>2597</v>
      </c>
      <c r="N266" s="67">
        <v>20.303350448608398</v>
      </c>
      <c r="O266" s="67">
        <v>92.927062988281307</v>
      </c>
      <c r="R266" s="361"/>
      <c r="S266" s="354"/>
      <c r="T266" s="91">
        <v>43591</v>
      </c>
      <c r="U266" s="361"/>
      <c r="W266" s="353"/>
      <c r="X266" s="454"/>
      <c r="Y266" s="454"/>
      <c r="Z266" s="454"/>
    </row>
    <row r="267" spans="1:26" s="67" customFormat="1" ht="14.25" hidden="1" customHeight="1">
      <c r="A267" s="354" t="s">
        <v>2624</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2624</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2624</v>
      </c>
      <c r="B269" s="357" t="s">
        <v>451</v>
      </c>
      <c r="C269" s="358" t="s">
        <v>2726</v>
      </c>
      <c r="D269" s="352"/>
      <c r="E269" s="67">
        <v>196317</v>
      </c>
      <c r="F269" s="350"/>
      <c r="J269" s="67" t="s">
        <v>2629</v>
      </c>
      <c r="K269" s="350" t="s">
        <v>2597</v>
      </c>
      <c r="L269" s="350" t="s">
        <v>2597</v>
      </c>
      <c r="N269" s="67">
        <v>20.616569519043001</v>
      </c>
      <c r="O269" s="67">
        <v>92.991638183593807</v>
      </c>
      <c r="R269" s="361"/>
      <c r="S269" s="86"/>
      <c r="T269" s="91">
        <v>43591</v>
      </c>
      <c r="U269" s="361"/>
      <c r="W269" s="353"/>
      <c r="X269" s="454"/>
      <c r="Y269" s="454"/>
      <c r="Z269" s="454"/>
    </row>
    <row r="270" spans="1:26" s="67" customFormat="1" ht="14.25" hidden="1" customHeight="1">
      <c r="A270" s="354" t="s">
        <v>2624</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2624</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2624</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2624</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2624</v>
      </c>
      <c r="B274" s="357" t="s">
        <v>451</v>
      </c>
      <c r="C274" s="358" t="s">
        <v>2727</v>
      </c>
      <c r="D274" s="352"/>
      <c r="E274" s="67">
        <v>196315</v>
      </c>
      <c r="J274" s="67" t="s">
        <v>2629</v>
      </c>
      <c r="K274" s="350" t="s">
        <v>2597</v>
      </c>
      <c r="L274" s="67" t="s">
        <v>2597</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2624</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2624</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2624</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2624</v>
      </c>
      <c r="B278" s="357" t="s">
        <v>451</v>
      </c>
      <c r="C278" s="358" t="s">
        <v>2775</v>
      </c>
      <c r="D278" s="352"/>
      <c r="E278" s="67">
        <v>196234</v>
      </c>
      <c r="J278" s="67" t="s">
        <v>2629</v>
      </c>
      <c r="K278" s="67" t="s">
        <v>2597</v>
      </c>
      <c r="L278" s="67" t="s">
        <v>2597</v>
      </c>
      <c r="N278" s="67">
        <v>20.580810546875</v>
      </c>
      <c r="O278" s="67">
        <v>92.869346618652301</v>
      </c>
      <c r="R278" s="361"/>
      <c r="S278" s="86"/>
      <c r="T278" s="91">
        <v>43591</v>
      </c>
      <c r="U278" s="361"/>
      <c r="V278" s="67" t="s">
        <v>2692</v>
      </c>
      <c r="W278" s="353"/>
      <c r="X278" s="454"/>
      <c r="Y278" s="454"/>
      <c r="Z278" s="454"/>
    </row>
    <row r="279" spans="1:26" s="67" customFormat="1" ht="14.25" hidden="1" customHeight="1">
      <c r="A279" s="354" t="s">
        <v>2624</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2624</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2624</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2624</v>
      </c>
      <c r="B282" s="357" t="s">
        <v>451</v>
      </c>
      <c r="C282" s="358" t="s">
        <v>1714</v>
      </c>
      <c r="D282" s="352"/>
      <c r="E282" s="67">
        <v>196369</v>
      </c>
      <c r="J282" s="67" t="s">
        <v>2629</v>
      </c>
      <c r="K282" s="67" t="s">
        <v>2597</v>
      </c>
      <c r="L282" s="67" t="s">
        <v>2597</v>
      </c>
      <c r="N282" s="350">
        <v>20.337610244751001</v>
      </c>
      <c r="O282" s="350">
        <v>92.969711303710895</v>
      </c>
      <c r="R282" s="361"/>
      <c r="S282" s="86"/>
      <c r="T282" s="91">
        <v>43591</v>
      </c>
      <c r="U282" s="361"/>
      <c r="W282" s="353"/>
      <c r="X282" s="454"/>
      <c r="Y282" s="454"/>
      <c r="Z282" s="454"/>
    </row>
    <row r="283" spans="1:26" s="67" customFormat="1" ht="14.25" hidden="1" customHeight="1">
      <c r="A283" s="357" t="s">
        <v>2624</v>
      </c>
      <c r="B283" s="357" t="s">
        <v>451</v>
      </c>
      <c r="C283" s="358" t="s">
        <v>2723</v>
      </c>
      <c r="D283" s="352"/>
      <c r="E283" s="350">
        <v>196369</v>
      </c>
      <c r="J283" s="67" t="s">
        <v>2629</v>
      </c>
      <c r="K283" s="67" t="s">
        <v>2597</v>
      </c>
      <c r="L283" s="67" t="s">
        <v>2597</v>
      </c>
      <c r="N283" s="350">
        <v>20.337610244751001</v>
      </c>
      <c r="O283" s="350">
        <v>92.969711303710895</v>
      </c>
      <c r="R283" s="361"/>
      <c r="S283" s="86"/>
      <c r="T283" s="91">
        <v>43591</v>
      </c>
      <c r="U283" s="361"/>
      <c r="W283" s="353"/>
      <c r="X283" s="454"/>
      <c r="Y283" s="454"/>
      <c r="Z283" s="454"/>
    </row>
    <row r="284" spans="1:26" s="67" customFormat="1" ht="14.25" hidden="1" customHeight="1">
      <c r="A284" s="354" t="s">
        <v>2624</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2624</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2624</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2624</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2624</v>
      </c>
      <c r="B288" s="357" t="s">
        <v>451</v>
      </c>
      <c r="C288" s="358" t="s">
        <v>2774</v>
      </c>
      <c r="D288" s="352"/>
      <c r="E288" s="67">
        <v>196302</v>
      </c>
      <c r="F288" s="350"/>
      <c r="J288" s="67" t="s">
        <v>2629</v>
      </c>
      <c r="K288" s="350" t="s">
        <v>2597</v>
      </c>
      <c r="L288" s="350" t="s">
        <v>2597</v>
      </c>
      <c r="N288" s="67">
        <v>20.5702304840088</v>
      </c>
      <c r="O288" s="67">
        <v>92.977378845214801</v>
      </c>
      <c r="R288" s="361"/>
      <c r="S288" s="354"/>
      <c r="T288" s="91">
        <v>43591</v>
      </c>
      <c r="U288" s="361"/>
      <c r="V288" s="434" t="s">
        <v>2691</v>
      </c>
      <c r="W288" s="353"/>
      <c r="X288" s="454"/>
      <c r="Y288" s="454"/>
      <c r="Z288" s="454"/>
    </row>
    <row r="289" spans="1:26" s="67" customFormat="1" ht="14.25" hidden="1" customHeight="1">
      <c r="A289" s="354" t="s">
        <v>2624</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2624</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2624</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2624</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2624</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2624</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2624</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2624</v>
      </c>
      <c r="B296" s="357" t="s">
        <v>294</v>
      </c>
      <c r="C296" s="358" t="s">
        <v>413</v>
      </c>
      <c r="D296" s="399" t="s">
        <v>3079</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2624</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2624</v>
      </c>
      <c r="B298" s="357" t="s">
        <v>294</v>
      </c>
      <c r="C298" s="358" t="s">
        <v>424</v>
      </c>
      <c r="D298" s="399" t="s">
        <v>3079</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2624</v>
      </c>
      <c r="B299" s="357" t="s">
        <v>294</v>
      </c>
      <c r="C299" s="358" t="s">
        <v>426</v>
      </c>
      <c r="D299" s="399" t="s">
        <v>3079</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2624</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2624</v>
      </c>
      <c r="B301" s="357" t="s">
        <v>294</v>
      </c>
      <c r="C301" s="358" t="s">
        <v>2619</v>
      </c>
      <c r="D301" s="399" t="s">
        <v>3079</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2624</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2624</v>
      </c>
      <c r="B303" s="351" t="s">
        <v>294</v>
      </c>
      <c r="C303" s="351" t="s">
        <v>2565</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2624</v>
      </c>
      <c r="B304" s="351" t="s">
        <v>294</v>
      </c>
      <c r="C304" s="351" t="s">
        <v>2552</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2624</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2624</v>
      </c>
      <c r="B306" s="357" t="s">
        <v>294</v>
      </c>
      <c r="C306" s="358" t="s">
        <v>423</v>
      </c>
      <c r="D306" s="399" t="s">
        <v>3079</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2624</v>
      </c>
      <c r="B307" s="357" t="s">
        <v>294</v>
      </c>
      <c r="C307" s="358" t="s">
        <v>422</v>
      </c>
      <c r="D307" s="399" t="s">
        <v>3079</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2624</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2624</v>
      </c>
      <c r="B309" s="351" t="s">
        <v>294</v>
      </c>
      <c r="C309" s="358" t="s">
        <v>2566</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2624</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2624</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2624</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2624</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2624</v>
      </c>
      <c r="B314" s="351" t="s">
        <v>294</v>
      </c>
      <c r="C314" s="351" t="s">
        <v>2559</v>
      </c>
      <c r="D314" s="399"/>
      <c r="E314" s="351">
        <v>196126</v>
      </c>
      <c r="F314" s="67" t="s">
        <v>2561</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2624</v>
      </c>
      <c r="B315" s="351" t="s">
        <v>294</v>
      </c>
      <c r="C315" s="351" t="s">
        <v>2560</v>
      </c>
      <c r="D315" s="399"/>
      <c r="E315" s="67">
        <v>196128</v>
      </c>
      <c r="F315" s="350" t="s">
        <v>2561</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2624</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2624</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2624</v>
      </c>
      <c r="B318" s="351" t="s">
        <v>294</v>
      </c>
      <c r="C318" s="351" t="s">
        <v>2553</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2624</v>
      </c>
      <c r="B319" s="351" t="s">
        <v>294</v>
      </c>
      <c r="C319" s="351" t="s">
        <v>2554</v>
      </c>
      <c r="D319" s="399"/>
      <c r="E319" s="67">
        <v>196134</v>
      </c>
      <c r="F319" s="67" t="s">
        <v>2673</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2624</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2680</v>
      </c>
      <c r="W320" s="353"/>
      <c r="X320" s="454"/>
      <c r="Y320" s="454"/>
      <c r="Z320" s="454"/>
    </row>
    <row r="321" spans="1:26" s="67" customFormat="1" ht="14.25" customHeight="1">
      <c r="A321" s="354" t="s">
        <v>2624</v>
      </c>
      <c r="B321" s="357" t="s">
        <v>294</v>
      </c>
      <c r="C321" s="358" t="s">
        <v>2271</v>
      </c>
      <c r="D321" s="399" t="s">
        <v>3079</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2624</v>
      </c>
      <c r="B322" s="357" t="s">
        <v>294</v>
      </c>
      <c r="C322" s="358" t="s">
        <v>2272</v>
      </c>
      <c r="D322" s="399" t="s">
        <v>3079</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2624</v>
      </c>
      <c r="B323" s="357" t="s">
        <v>294</v>
      </c>
      <c r="C323" s="358" t="s">
        <v>2568</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2624</v>
      </c>
      <c r="B324" s="357" t="s">
        <v>294</v>
      </c>
      <c r="C324" s="358" t="s">
        <v>2569</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2624</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2624</v>
      </c>
      <c r="B326" s="351" t="s">
        <v>294</v>
      </c>
      <c r="C326" s="351" t="s">
        <v>2558</v>
      </c>
      <c r="D326" s="399"/>
      <c r="E326" s="67">
        <v>196169</v>
      </c>
      <c r="F326" s="67" t="s">
        <v>2558</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2624</v>
      </c>
      <c r="B327" s="351" t="s">
        <v>294</v>
      </c>
      <c r="C327" s="351" t="s">
        <v>2557</v>
      </c>
      <c r="D327" s="399"/>
      <c r="E327" s="350">
        <v>196170</v>
      </c>
      <c r="F327" s="350" t="s">
        <v>2558</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2624</v>
      </c>
      <c r="B328" s="351" t="s">
        <v>294</v>
      </c>
      <c r="C328" s="351" t="s">
        <v>2556</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2624</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2624</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2624</v>
      </c>
      <c r="B331" s="351" t="s">
        <v>294</v>
      </c>
      <c r="C331" s="351" t="s">
        <v>2561</v>
      </c>
      <c r="D331" s="399"/>
      <c r="E331" s="350">
        <v>196125</v>
      </c>
      <c r="F331" s="350" t="s">
        <v>2561</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2624</v>
      </c>
      <c r="B332" s="357" t="s">
        <v>294</v>
      </c>
      <c r="C332" s="358" t="s">
        <v>430</v>
      </c>
      <c r="D332" s="399" t="s">
        <v>3079</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2624</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2624</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2624</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2624</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2624</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2624</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2624</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2624</v>
      </c>
      <c r="B340" s="357" t="s">
        <v>294</v>
      </c>
      <c r="C340" s="358" t="s">
        <v>440</v>
      </c>
      <c r="D340" s="399" t="s">
        <v>3079</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2624</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2624</v>
      </c>
      <c r="B342" s="357" t="s">
        <v>294</v>
      </c>
      <c r="C342" s="358" t="s">
        <v>431</v>
      </c>
      <c r="D342" s="399" t="s">
        <v>3079</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2624</v>
      </c>
      <c r="B343" s="357" t="s">
        <v>294</v>
      </c>
      <c r="C343" s="358" t="s">
        <v>429</v>
      </c>
      <c r="D343" s="399" t="s">
        <v>3079</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2624</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2624</v>
      </c>
      <c r="B345" s="351" t="s">
        <v>294</v>
      </c>
      <c r="C345" s="351" t="s">
        <v>2563</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2624</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2624</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2624</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2624</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2624</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2624</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2624</v>
      </c>
      <c r="B352" s="351" t="s">
        <v>294</v>
      </c>
      <c r="C352" s="351" t="s">
        <v>2562</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2624</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2624</v>
      </c>
      <c r="B354" s="351" t="s">
        <v>294</v>
      </c>
      <c r="C354" s="351" t="s">
        <v>2564</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2624</v>
      </c>
      <c r="B355" s="351" t="s">
        <v>294</v>
      </c>
      <c r="C355" s="351" t="s">
        <v>2567</v>
      </c>
      <c r="D355" s="352"/>
      <c r="J355" s="67" t="s">
        <v>793</v>
      </c>
      <c r="K355" s="351" t="s">
        <v>793</v>
      </c>
      <c r="L355" s="351" t="s">
        <v>793</v>
      </c>
      <c r="R355" s="351"/>
      <c r="S355" s="463"/>
      <c r="T355" s="91"/>
      <c r="U355" s="87"/>
      <c r="W355" s="353"/>
      <c r="X355" s="454"/>
      <c r="Y355" s="454"/>
      <c r="Z355" s="454"/>
    </row>
    <row r="356" spans="1:26" s="67" customFormat="1" ht="14.25" hidden="1" customHeight="1">
      <c r="A356" s="354" t="s">
        <v>2624</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2624</v>
      </c>
      <c r="B357" s="357" t="s">
        <v>294</v>
      </c>
      <c r="C357" s="358" t="s">
        <v>417</v>
      </c>
      <c r="D357" s="399" t="s">
        <v>2686</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2624</v>
      </c>
      <c r="B358" s="357" t="s">
        <v>294</v>
      </c>
      <c r="C358" s="358" t="s">
        <v>418</v>
      </c>
      <c r="D358" s="399" t="s">
        <v>2686</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2624</v>
      </c>
      <c r="B359" s="462" t="s">
        <v>294</v>
      </c>
      <c r="C359" s="358" t="s">
        <v>438</v>
      </c>
      <c r="D359" s="399" t="s">
        <v>3079</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2624</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2624</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2624</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2624</v>
      </c>
      <c r="B363" s="357" t="s">
        <v>294</v>
      </c>
      <c r="C363" s="358" t="s">
        <v>415</v>
      </c>
      <c r="D363" s="399" t="s">
        <v>2686</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2624</v>
      </c>
      <c r="B364" s="357" t="s">
        <v>294</v>
      </c>
      <c r="C364" s="358" t="s">
        <v>1877</v>
      </c>
      <c r="D364" s="399" t="s">
        <v>2686</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2624</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2624</v>
      </c>
      <c r="B366" s="357" t="s">
        <v>294</v>
      </c>
      <c r="C366" s="358" t="s">
        <v>421</v>
      </c>
      <c r="D366" s="399" t="s">
        <v>3079</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2624</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2624</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2624</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2624</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2624</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2624</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2624</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2624</v>
      </c>
      <c r="B374" s="357" t="s">
        <v>294</v>
      </c>
      <c r="C374" s="358" t="s">
        <v>425</v>
      </c>
      <c r="D374" s="399" t="s">
        <v>3079</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2624</v>
      </c>
      <c r="B375" s="357" t="s">
        <v>294</v>
      </c>
      <c r="C375" s="358" t="s">
        <v>427</v>
      </c>
      <c r="D375" s="399" t="s">
        <v>3079</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2624</v>
      </c>
      <c r="B376" s="357" t="s">
        <v>294</v>
      </c>
      <c r="C376" s="358" t="s">
        <v>2570</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2624</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2624</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2624</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2624</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2624</v>
      </c>
      <c r="B381" s="351" t="s">
        <v>294</v>
      </c>
      <c r="C381" s="351" t="s">
        <v>2555</v>
      </c>
      <c r="D381" s="399"/>
      <c r="E381" s="350">
        <v>196136</v>
      </c>
      <c r="F381" s="350" t="s">
        <v>2673</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2624</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2624</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2624</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2624</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2624</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2624</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2796</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2796</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2796</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2796</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2796</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2796</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2796</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2796</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2796</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2634</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2796</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2796</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2796</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2796</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2796</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2796</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2796</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2796</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2796</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2796</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2796</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2796</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2796</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2796</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2796</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2796</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2796</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2600</v>
      </c>
      <c r="X432" s="454"/>
      <c r="Y432" s="454"/>
      <c r="Z432" s="454"/>
    </row>
    <row r="433" spans="1:26" s="67" customFormat="1" ht="14.25" hidden="1" customHeight="1">
      <c r="A433" s="350" t="s">
        <v>37</v>
      </c>
      <c r="B433" s="350" t="s">
        <v>137</v>
      </c>
      <c r="C433" s="350" t="s">
        <v>244</v>
      </c>
      <c r="D433" s="399" t="s">
        <v>2796</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2796</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2796</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2796</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2796</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2796</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2796</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2601</v>
      </c>
      <c r="X442" s="454"/>
      <c r="Y442" s="454"/>
      <c r="Z442" s="454"/>
    </row>
    <row r="443" spans="1:26" s="67" customFormat="1" ht="14.25" hidden="1" customHeight="1">
      <c r="A443" s="350" t="s">
        <v>37</v>
      </c>
      <c r="B443" s="351" t="s">
        <v>137</v>
      </c>
      <c r="C443" s="351" t="s">
        <v>177</v>
      </c>
      <c r="D443" s="399" t="s">
        <v>2796</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2796</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2685</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2796</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2796</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2796</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2796</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2796</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2796</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2796</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2796</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2796</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2796</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2796</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2796</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2796</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2796</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2796</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2796</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2796</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2641</v>
      </c>
      <c r="V493" s="67" t="s">
        <v>229</v>
      </c>
      <c r="W493" s="345" t="s">
        <v>2132</v>
      </c>
      <c r="X493" s="454"/>
      <c r="Y493" s="454"/>
      <c r="Z493" s="454"/>
    </row>
    <row r="494" spans="1:26" s="67" customFormat="1" ht="14.25" hidden="1" customHeight="1">
      <c r="A494" s="358" t="s">
        <v>37</v>
      </c>
      <c r="B494" s="357" t="s">
        <v>141</v>
      </c>
      <c r="C494" s="351" t="s">
        <v>1935</v>
      </c>
      <c r="D494" s="399" t="s">
        <v>2796</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2796</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2796</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2796</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2796</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2796</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2796</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2796</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2796</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2796</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2796</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2796</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2796</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2796</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2796</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2796</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2796</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2796</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2796</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2796</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2796</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2796</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2796</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2796</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2796</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2796</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2796</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2796</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2634</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2796</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2796</v>
      </c>
      <c r="E563" s="67" t="s">
        <v>1530</v>
      </c>
      <c r="F563" s="67" t="s">
        <v>1696</v>
      </c>
      <c r="G563" s="67" t="s">
        <v>1790</v>
      </c>
      <c r="H563" s="67" t="s">
        <v>41</v>
      </c>
      <c r="I563" s="350" t="s">
        <v>2638</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2796</v>
      </c>
      <c r="E564" s="67" t="s">
        <v>1522</v>
      </c>
      <c r="F564" s="67" t="s">
        <v>1696</v>
      </c>
      <c r="G564" s="67" t="s">
        <v>1790</v>
      </c>
      <c r="H564" s="67" t="s">
        <v>41</v>
      </c>
      <c r="I564" s="350" t="s">
        <v>2638</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2796</v>
      </c>
      <c r="E565" s="67" t="s">
        <v>1529</v>
      </c>
      <c r="F565" s="67" t="s">
        <v>1696</v>
      </c>
      <c r="G565" s="67" t="s">
        <v>1795</v>
      </c>
      <c r="H565" s="350" t="s">
        <v>41</v>
      </c>
      <c r="I565" s="67" t="s">
        <v>2638</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2796</v>
      </c>
      <c r="E566" s="350" t="s">
        <v>1555</v>
      </c>
      <c r="F566" s="350" t="s">
        <v>1696</v>
      </c>
      <c r="G566" s="350" t="s">
        <v>1807</v>
      </c>
      <c r="H566" s="350" t="s">
        <v>41</v>
      </c>
      <c r="I566" s="350" t="s">
        <v>2638</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2796</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2796</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2796</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2796</v>
      </c>
      <c r="E571" s="67" t="s">
        <v>1551</v>
      </c>
      <c r="F571" s="67" t="s">
        <v>1696</v>
      </c>
      <c r="G571" s="67" t="s">
        <v>1806</v>
      </c>
      <c r="H571" s="350" t="s">
        <v>41</v>
      </c>
      <c r="I571" s="350" t="s">
        <v>2638</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2796</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2796</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2796</v>
      </c>
      <c r="E574" s="67" t="s">
        <v>1546</v>
      </c>
      <c r="F574" s="67" t="s">
        <v>1696</v>
      </c>
      <c r="G574" s="67" t="s">
        <v>1803</v>
      </c>
      <c r="H574" s="350" t="s">
        <v>41</v>
      </c>
      <c r="I574" s="67" t="s">
        <v>2638</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2796</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2796</v>
      </c>
      <c r="E576" s="67" t="s">
        <v>1556</v>
      </c>
      <c r="F576" s="67" t="s">
        <v>1696</v>
      </c>
      <c r="G576" s="67" t="s">
        <v>1808</v>
      </c>
      <c r="H576" s="350" t="s">
        <v>41</v>
      </c>
      <c r="I576" s="350" t="s">
        <v>2638</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2634</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2796</v>
      </c>
      <c r="E579" s="350" t="s">
        <v>1547</v>
      </c>
      <c r="F579" s="350" t="s">
        <v>1696</v>
      </c>
      <c r="G579" s="350" t="s">
        <v>1800</v>
      </c>
      <c r="H579" s="350" t="s">
        <v>41</v>
      </c>
      <c r="I579" s="350" t="s">
        <v>2638</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2796</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2796</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2796</v>
      </c>
      <c r="E582" s="350" t="s">
        <v>1542</v>
      </c>
      <c r="F582" s="67" t="s">
        <v>1696</v>
      </c>
      <c r="G582" s="67" t="s">
        <v>1800</v>
      </c>
      <c r="H582" s="350" t="s">
        <v>41</v>
      </c>
      <c r="I582" s="350" t="s">
        <v>2638</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2796</v>
      </c>
      <c r="E583" s="350" t="s">
        <v>1541</v>
      </c>
      <c r="F583" s="350" t="s">
        <v>1696</v>
      </c>
      <c r="G583" s="350" t="s">
        <v>1800</v>
      </c>
      <c r="H583" s="350" t="s">
        <v>41</v>
      </c>
      <c r="I583" s="350" t="s">
        <v>2638</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2796</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2796</v>
      </c>
      <c r="E586" s="350" t="s">
        <v>1944</v>
      </c>
      <c r="F586" s="350"/>
      <c r="G586" s="350"/>
      <c r="H586" s="350" t="s">
        <v>41</v>
      </c>
      <c r="I586" s="350" t="s">
        <v>2638</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2796</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2796</v>
      </c>
      <c r="E591" s="67" t="s">
        <v>1602</v>
      </c>
      <c r="F591" s="350" t="s">
        <v>1825</v>
      </c>
      <c r="G591" s="67" t="s">
        <v>1826</v>
      </c>
      <c r="H591" s="67" t="s">
        <v>41</v>
      </c>
      <c r="I591" s="67" t="s">
        <v>2638</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2796</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2796</v>
      </c>
      <c r="E596" s="350" t="s">
        <v>2797</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2798</v>
      </c>
      <c r="X596" s="454"/>
      <c r="Y596" s="454"/>
      <c r="Z596" s="454"/>
    </row>
    <row r="597" spans="1:26" s="67" customFormat="1" ht="14.25" hidden="1" customHeight="1">
      <c r="A597" s="350" t="s">
        <v>37</v>
      </c>
      <c r="B597" s="351" t="s">
        <v>203</v>
      </c>
      <c r="C597" s="351" t="s">
        <v>204</v>
      </c>
      <c r="D597" s="399" t="s">
        <v>2796</v>
      </c>
      <c r="E597" s="67" t="s">
        <v>1456</v>
      </c>
      <c r="F597" s="67" t="s">
        <v>1754</v>
      </c>
      <c r="G597" s="67" t="s">
        <v>1754</v>
      </c>
      <c r="H597" s="67" t="s">
        <v>41</v>
      </c>
      <c r="I597" s="67" t="s">
        <v>2637</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2796</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2635</v>
      </c>
      <c r="D603" s="399" t="s">
        <v>2796</v>
      </c>
      <c r="E603" s="67" t="s">
        <v>2636</v>
      </c>
      <c r="F603" s="67">
        <v>0</v>
      </c>
      <c r="G603" s="67">
        <v>0</v>
      </c>
      <c r="I603" s="351" t="s">
        <v>2104</v>
      </c>
      <c r="J603" s="67" t="s">
        <v>43</v>
      </c>
      <c r="K603" s="67" t="s">
        <v>43</v>
      </c>
      <c r="L603" s="397" t="s">
        <v>771</v>
      </c>
      <c r="M603" s="67" t="s">
        <v>44</v>
      </c>
      <c r="N603" s="350">
        <v>25.415667500000001</v>
      </c>
      <c r="O603" s="350">
        <v>97.437782499999997</v>
      </c>
      <c r="P603" s="17" t="s">
        <v>756</v>
      </c>
      <c r="Q603" s="67" t="s">
        <v>2602</v>
      </c>
      <c r="R603" s="353"/>
      <c r="S603" s="459"/>
      <c r="T603" s="91">
        <v>43579</v>
      </c>
      <c r="U603" s="87"/>
      <c r="X603" s="454"/>
      <c r="Y603" s="454"/>
      <c r="Z603" s="454"/>
    </row>
    <row r="604" spans="1:26" s="67" customFormat="1" ht="14.25" hidden="1" customHeight="1">
      <c r="A604" s="350" t="s">
        <v>37</v>
      </c>
      <c r="B604" s="350" t="s">
        <v>173</v>
      </c>
      <c r="C604" s="350" t="s">
        <v>174</v>
      </c>
      <c r="D604" s="399" t="s">
        <v>2796</v>
      </c>
      <c r="E604" s="67" t="s">
        <v>1596</v>
      </c>
      <c r="F604" s="67">
        <v>0</v>
      </c>
      <c r="G604" s="67">
        <v>0</v>
      </c>
      <c r="H604" s="67" t="s">
        <v>41</v>
      </c>
      <c r="I604" s="67" t="s">
        <v>2638</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2796</v>
      </c>
      <c r="E606" s="67" t="s">
        <v>1595</v>
      </c>
      <c r="F606" s="67">
        <v>0</v>
      </c>
      <c r="G606" s="67">
        <v>0</v>
      </c>
      <c r="H606" s="67" t="s">
        <v>41</v>
      </c>
      <c r="I606" s="67" t="s">
        <v>2638</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2796</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2796</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2640</v>
      </c>
      <c r="W612" s="350" t="s">
        <v>2218</v>
      </c>
      <c r="X612" s="454"/>
      <c r="Y612" s="454"/>
      <c r="Z612" s="454"/>
    </row>
    <row r="613" spans="1:26" s="67" customFormat="1" ht="14.25" hidden="1" customHeight="1">
      <c r="A613" s="350" t="s">
        <v>37</v>
      </c>
      <c r="B613" s="351" t="s">
        <v>1134</v>
      </c>
      <c r="C613" s="351" t="s">
        <v>1136</v>
      </c>
      <c r="D613" s="399" t="s">
        <v>2796</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2796</v>
      </c>
      <c r="E614" s="67" t="s">
        <v>1609</v>
      </c>
      <c r="F614" s="67" t="s">
        <v>1134</v>
      </c>
      <c r="G614" s="67">
        <v>0</v>
      </c>
      <c r="H614" s="67" t="s">
        <v>41</v>
      </c>
      <c r="I614" s="67" t="s">
        <v>2638</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2796</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2796</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2796</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2796</v>
      </c>
      <c r="E621" s="67" t="s">
        <v>1508</v>
      </c>
      <c r="F621" s="67" t="s">
        <v>1781</v>
      </c>
      <c r="G621" s="67" t="s">
        <v>1782</v>
      </c>
      <c r="H621" s="67" t="s">
        <v>41</v>
      </c>
      <c r="I621" s="67" t="s">
        <v>2638</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2796</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2796</v>
      </c>
      <c r="E625" s="350" t="s">
        <v>1528</v>
      </c>
      <c r="F625" s="350" t="s">
        <v>1793</v>
      </c>
      <c r="G625" s="350" t="s">
        <v>1794</v>
      </c>
      <c r="H625" s="350" t="s">
        <v>41</v>
      </c>
      <c r="I625" s="350" t="s">
        <v>2638</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2796</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2796</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2796</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2796</v>
      </c>
      <c r="E629" s="67" t="s">
        <v>1545</v>
      </c>
      <c r="F629" s="67" t="s">
        <v>1801</v>
      </c>
      <c r="G629" s="67" t="s">
        <v>1801</v>
      </c>
      <c r="H629" s="67" t="s">
        <v>41</v>
      </c>
      <c r="I629" s="67" t="s">
        <v>2638</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2796</v>
      </c>
      <c r="E630" s="67" t="s">
        <v>1543</v>
      </c>
      <c r="F630" s="67" t="s">
        <v>1801</v>
      </c>
      <c r="G630" s="67" t="s">
        <v>1801</v>
      </c>
      <c r="H630" s="67" t="s">
        <v>41</v>
      </c>
      <c r="I630" s="67" t="s">
        <v>2638</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2796</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2796</v>
      </c>
      <c r="E632" s="67" t="s">
        <v>1501</v>
      </c>
      <c r="F632" s="67" t="s">
        <v>1778</v>
      </c>
      <c r="G632" s="67" t="s">
        <v>1779</v>
      </c>
      <c r="H632" s="67" t="s">
        <v>41</v>
      </c>
      <c r="I632" s="67" t="s">
        <v>2638</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2796</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2796</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2796</v>
      </c>
      <c r="E635" s="67" t="s">
        <v>1524</v>
      </c>
      <c r="F635" s="67" t="s">
        <v>1695</v>
      </c>
      <c r="G635" s="67" t="s">
        <v>1685</v>
      </c>
      <c r="H635" s="67" t="s">
        <v>41</v>
      </c>
      <c r="I635" s="67" t="s">
        <v>2638</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2796</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2796</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2796</v>
      </c>
      <c r="E639" s="350" t="s">
        <v>1606</v>
      </c>
      <c r="F639" s="67" t="s">
        <v>1778</v>
      </c>
      <c r="G639" s="67" t="s">
        <v>1779</v>
      </c>
      <c r="H639" s="67" t="s">
        <v>41</v>
      </c>
      <c r="I639" s="67" t="s">
        <v>2638</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2796</v>
      </c>
      <c r="E640" s="350" t="s">
        <v>1550</v>
      </c>
      <c r="F640" s="351" t="s">
        <v>1804</v>
      </c>
      <c r="G640" s="350" t="s">
        <v>1805</v>
      </c>
      <c r="H640" s="350" t="s">
        <v>41</v>
      </c>
      <c r="I640" s="350" t="s">
        <v>2638</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2796</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2796</v>
      </c>
      <c r="E642" s="351" t="s">
        <v>1948</v>
      </c>
      <c r="F642" s="351"/>
      <c r="G642" s="351"/>
      <c r="H642" s="67" t="s">
        <v>41</v>
      </c>
      <c r="I642" s="67" t="s">
        <v>2638</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2796</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2796</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2623</v>
      </c>
      <c r="B650" s="350" t="s">
        <v>318</v>
      </c>
      <c r="C650" s="350" t="s">
        <v>2517</v>
      </c>
      <c r="D650" s="399"/>
      <c r="E650" s="350"/>
      <c r="F650" s="350"/>
      <c r="G650" s="350"/>
      <c r="H650" s="350"/>
      <c r="I650" s="350"/>
      <c r="J650" s="350" t="s">
        <v>2629</v>
      </c>
      <c r="K650" s="350" t="s">
        <v>2597</v>
      </c>
      <c r="L650" s="350" t="s">
        <v>2597</v>
      </c>
      <c r="M650" s="350"/>
      <c r="N650" s="350"/>
      <c r="O650" s="350"/>
      <c r="P650" s="350"/>
      <c r="Q650" s="350"/>
      <c r="R650" s="353"/>
      <c r="S650" s="354"/>
      <c r="T650" s="373"/>
      <c r="U650" s="355"/>
      <c r="V650" s="350"/>
      <c r="W650" s="350"/>
      <c r="X650" s="454"/>
      <c r="Y650" s="454"/>
      <c r="Z650" s="454"/>
    </row>
    <row r="651" spans="1:26" s="67" customFormat="1" ht="14.25" hidden="1" customHeight="1">
      <c r="A651" s="406" t="s">
        <v>2623</v>
      </c>
      <c r="B651" s="414" t="s">
        <v>318</v>
      </c>
      <c r="C651" s="418" t="s">
        <v>2651</v>
      </c>
      <c r="D651" s="352"/>
      <c r="E651" s="408">
        <v>198334</v>
      </c>
      <c r="F651" s="408" t="s">
        <v>2651</v>
      </c>
      <c r="G651" s="408"/>
      <c r="H651" s="408"/>
      <c r="I651" s="408"/>
      <c r="J651" s="350" t="s">
        <v>793</v>
      </c>
      <c r="K651" s="350" t="s">
        <v>793</v>
      </c>
      <c r="L651" s="350" t="s">
        <v>793</v>
      </c>
      <c r="M651" s="408"/>
      <c r="N651" s="408">
        <v>20.825700759887699</v>
      </c>
      <c r="O651" s="408">
        <v>92.542686462402301</v>
      </c>
      <c r="P651" s="408"/>
      <c r="Q651" s="408" t="s">
        <v>2602</v>
      </c>
      <c r="R651" s="409"/>
      <c r="S651" s="406"/>
      <c r="T651" s="410">
        <v>43580</v>
      </c>
      <c r="U651" s="411" t="s">
        <v>2648</v>
      </c>
      <c r="V651" s="412"/>
      <c r="W651" s="353"/>
      <c r="X651" s="454"/>
      <c r="Y651" s="454"/>
      <c r="Z651" s="454"/>
    </row>
    <row r="652" spans="1:26" s="67" customFormat="1" ht="14.25" hidden="1" customHeight="1">
      <c r="A652" s="350" t="s">
        <v>2623</v>
      </c>
      <c r="B652" s="351" t="s">
        <v>318</v>
      </c>
      <c r="C652" s="351" t="s">
        <v>626</v>
      </c>
      <c r="D652" s="399" t="s">
        <v>1635</v>
      </c>
      <c r="E652" s="67">
        <v>198334</v>
      </c>
      <c r="J652" s="67" t="s">
        <v>2629</v>
      </c>
      <c r="K652" s="67" t="s">
        <v>2597</v>
      </c>
      <c r="L652" s="67" t="s">
        <v>2597</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2623</v>
      </c>
      <c r="B653" s="414" t="s">
        <v>318</v>
      </c>
      <c r="C653" s="418" t="s">
        <v>2484</v>
      </c>
      <c r="D653" s="352"/>
      <c r="E653" s="408">
        <v>198349</v>
      </c>
      <c r="F653" s="408" t="s">
        <v>2484</v>
      </c>
      <c r="G653" s="408"/>
      <c r="H653" s="408"/>
      <c r="I653" s="408"/>
      <c r="J653" s="67" t="s">
        <v>793</v>
      </c>
      <c r="K653" s="67" t="s">
        <v>793</v>
      </c>
      <c r="L653" s="67" t="s">
        <v>793</v>
      </c>
      <c r="M653" s="171" t="s">
        <v>790</v>
      </c>
      <c r="N653" s="408">
        <v>20.819919586181602</v>
      </c>
      <c r="O653" s="408">
        <v>92.589729309082003</v>
      </c>
      <c r="P653" s="408"/>
      <c r="Q653" s="408" t="s">
        <v>2602</v>
      </c>
      <c r="R653" s="409"/>
      <c r="S653" s="406"/>
      <c r="T653" s="410">
        <v>43580</v>
      </c>
      <c r="U653" s="411" t="s">
        <v>2648</v>
      </c>
      <c r="V653" s="412"/>
      <c r="W653" s="353"/>
      <c r="X653" s="454"/>
      <c r="Y653" s="454"/>
      <c r="Z653" s="454"/>
    </row>
    <row r="654" spans="1:26" s="67" customFormat="1" ht="14.25" hidden="1" customHeight="1">
      <c r="A654" s="350" t="s">
        <v>2623</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2623</v>
      </c>
      <c r="B655" s="350" t="s">
        <v>318</v>
      </c>
      <c r="C655" s="350" t="s">
        <v>2663</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2623</v>
      </c>
      <c r="B656" s="462" t="s">
        <v>318</v>
      </c>
      <c r="C656" s="463" t="s">
        <v>2790</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2623</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2623</v>
      </c>
      <c r="B658" s="456" t="s">
        <v>318</v>
      </c>
      <c r="C658" s="456" t="s">
        <v>2491</v>
      </c>
      <c r="D658" s="399"/>
      <c r="E658" s="67">
        <v>198427</v>
      </c>
      <c r="F658" s="67" t="s">
        <v>2605</v>
      </c>
      <c r="J658" s="67" t="s">
        <v>793</v>
      </c>
      <c r="K658" s="350" t="s">
        <v>793</v>
      </c>
      <c r="L658" s="350" t="s">
        <v>793</v>
      </c>
      <c r="M658" s="67" t="s">
        <v>790</v>
      </c>
      <c r="Q658" s="67" t="s">
        <v>2602</v>
      </c>
      <c r="R658" s="85"/>
      <c r="S658" s="86"/>
      <c r="T658" s="91"/>
      <c r="U658" s="87"/>
      <c r="X658" s="454"/>
      <c r="Y658" s="454"/>
      <c r="Z658" s="454"/>
    </row>
    <row r="659" spans="1:26" s="67" customFormat="1" ht="14.25" hidden="1" customHeight="1">
      <c r="A659" s="454" t="s">
        <v>2623</v>
      </c>
      <c r="B659" s="454" t="s">
        <v>318</v>
      </c>
      <c r="C659" s="454" t="s">
        <v>2490</v>
      </c>
      <c r="D659" s="399"/>
      <c r="E659" s="67">
        <v>198426</v>
      </c>
      <c r="F659" s="350" t="s">
        <v>2605</v>
      </c>
      <c r="J659" s="67" t="s">
        <v>793</v>
      </c>
      <c r="K659" s="67" t="s">
        <v>793</v>
      </c>
      <c r="L659" s="67" t="s">
        <v>793</v>
      </c>
      <c r="M659" s="67" t="s">
        <v>293</v>
      </c>
      <c r="O659" s="350"/>
      <c r="Q659" s="67" t="s">
        <v>2602</v>
      </c>
      <c r="R659" s="458"/>
      <c r="S659" s="354"/>
      <c r="T659" s="91"/>
      <c r="U659" s="460"/>
      <c r="W659" s="454"/>
      <c r="X659" s="454"/>
      <c r="Y659" s="454"/>
      <c r="Z659" s="454"/>
    </row>
    <row r="660" spans="1:26" s="67" customFormat="1" ht="14.25" hidden="1" customHeight="1">
      <c r="A660" s="462" t="s">
        <v>2623</v>
      </c>
      <c r="B660" s="462" t="s">
        <v>318</v>
      </c>
      <c r="C660" s="463" t="s">
        <v>2759</v>
      </c>
      <c r="D660" s="457"/>
      <c r="E660" s="67">
        <v>198415</v>
      </c>
      <c r="J660" s="67" t="s">
        <v>2629</v>
      </c>
      <c r="K660" s="67" t="s">
        <v>2597</v>
      </c>
      <c r="L660" s="67" t="s">
        <v>2597</v>
      </c>
      <c r="N660" s="67">
        <v>20.734859466552699</v>
      </c>
      <c r="O660" s="67">
        <v>92.657089233398395</v>
      </c>
      <c r="R660" s="466"/>
      <c r="S660" s="354"/>
      <c r="T660" s="91">
        <v>43591</v>
      </c>
      <c r="U660" s="466"/>
      <c r="W660" s="458"/>
      <c r="X660" s="454"/>
      <c r="Y660" s="454"/>
      <c r="Z660" s="454"/>
    </row>
    <row r="661" spans="1:26" s="67" customFormat="1" ht="14.25" hidden="1" customHeight="1">
      <c r="A661" s="350" t="s">
        <v>2623</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2623</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2623</v>
      </c>
      <c r="B663" s="462" t="s">
        <v>318</v>
      </c>
      <c r="C663" s="463" t="s">
        <v>616</v>
      </c>
      <c r="D663" s="457"/>
      <c r="E663" s="67">
        <v>217876</v>
      </c>
      <c r="J663" s="67" t="s">
        <v>2629</v>
      </c>
      <c r="K663" s="67" t="s">
        <v>2597</v>
      </c>
      <c r="L663" s="67" t="s">
        <v>2597</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2623</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2623</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2623</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2623</v>
      </c>
      <c r="B667" s="350" t="s">
        <v>318</v>
      </c>
      <c r="C667" s="350" t="s">
        <v>646</v>
      </c>
      <c r="D667" s="399"/>
      <c r="E667" s="67">
        <v>198435</v>
      </c>
      <c r="F667" s="67" t="s">
        <v>2607</v>
      </c>
      <c r="J667" s="67" t="s">
        <v>793</v>
      </c>
      <c r="K667" s="67" t="s">
        <v>793</v>
      </c>
      <c r="L667" s="67" t="s">
        <v>793</v>
      </c>
      <c r="M667" s="67" t="s">
        <v>790</v>
      </c>
      <c r="Q667" s="67" t="s">
        <v>2602</v>
      </c>
      <c r="R667" s="353"/>
      <c r="S667" s="86"/>
      <c r="T667" s="91"/>
      <c r="U667" s="87"/>
      <c r="X667" s="454"/>
      <c r="Y667" s="454"/>
      <c r="Z667" s="454"/>
    </row>
    <row r="668" spans="1:26" s="67" customFormat="1" ht="14.25" hidden="1" customHeight="1">
      <c r="A668" s="350" t="s">
        <v>2623</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2623</v>
      </c>
      <c r="B669" s="351" t="s">
        <v>318</v>
      </c>
      <c r="C669" s="351" t="s">
        <v>2492</v>
      </c>
      <c r="D669" s="399" t="s">
        <v>1635</v>
      </c>
      <c r="E669" s="67">
        <v>198431</v>
      </c>
      <c r="F669" s="67" t="s">
        <v>2606</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2623</v>
      </c>
      <c r="B670" s="456" t="s">
        <v>318</v>
      </c>
      <c r="C670" s="456" t="s">
        <v>2493</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2623</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2623</v>
      </c>
      <c r="B672" s="454" t="s">
        <v>318</v>
      </c>
      <c r="C672" s="454" t="s">
        <v>2650</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2792</v>
      </c>
      <c r="W672" s="454"/>
      <c r="X672" s="454"/>
      <c r="Y672" s="454"/>
      <c r="Z672" s="454"/>
    </row>
    <row r="673" spans="1:26" s="67" customFormat="1" ht="14.25" hidden="1" customHeight="1">
      <c r="A673" s="406" t="s">
        <v>2623</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2623</v>
      </c>
      <c r="B674" s="350" t="s">
        <v>318</v>
      </c>
      <c r="C674" s="350" t="s">
        <v>2603</v>
      </c>
      <c r="D674" s="399"/>
      <c r="E674" s="67">
        <v>198370</v>
      </c>
      <c r="F674" s="67" t="s">
        <v>2603</v>
      </c>
      <c r="J674" s="67" t="s">
        <v>793</v>
      </c>
      <c r="K674" s="67" t="s">
        <v>793</v>
      </c>
      <c r="L674" s="67" t="s">
        <v>793</v>
      </c>
      <c r="N674" s="67">
        <v>20.793779373168899</v>
      </c>
      <c r="O674" s="67">
        <v>92.597961425781307</v>
      </c>
      <c r="Q674" s="67" t="s">
        <v>2602</v>
      </c>
      <c r="R674" s="353"/>
      <c r="S674" s="86"/>
      <c r="T674" s="91">
        <v>43580</v>
      </c>
      <c r="U674" s="87" t="s">
        <v>2648</v>
      </c>
      <c r="X674" s="454"/>
      <c r="Y674" s="454"/>
      <c r="Z674" s="454"/>
    </row>
    <row r="675" spans="1:26" s="67" customFormat="1" ht="14.25" hidden="1" customHeight="1">
      <c r="A675" s="350" t="s">
        <v>2623</v>
      </c>
      <c r="B675" s="350" t="s">
        <v>318</v>
      </c>
      <c r="C675" s="350" t="s">
        <v>2483</v>
      </c>
      <c r="D675" s="399"/>
      <c r="E675" s="67">
        <v>198350</v>
      </c>
      <c r="F675" s="67" t="s">
        <v>2484</v>
      </c>
      <c r="J675" s="67" t="s">
        <v>793</v>
      </c>
      <c r="K675" s="67" t="s">
        <v>793</v>
      </c>
      <c r="L675" s="67" t="s">
        <v>793</v>
      </c>
      <c r="M675" s="67" t="s">
        <v>790</v>
      </c>
      <c r="Q675" s="67" t="s">
        <v>2602</v>
      </c>
      <c r="R675" s="85"/>
      <c r="S675" s="86"/>
      <c r="T675" s="91"/>
      <c r="U675" s="87"/>
      <c r="X675" s="454"/>
      <c r="Y675" s="454"/>
      <c r="Z675" s="454"/>
    </row>
    <row r="676" spans="1:26" s="67" customFormat="1" ht="14.25" hidden="1" customHeight="1">
      <c r="A676" s="350" t="s">
        <v>2623</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2623</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2623</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2623</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2623</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2623</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2623</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2623</v>
      </c>
      <c r="B683" s="351" t="s">
        <v>318</v>
      </c>
      <c r="C683" s="351" t="s">
        <v>2646</v>
      </c>
      <c r="D683" s="399"/>
      <c r="E683" s="350">
        <v>198356</v>
      </c>
      <c r="F683" s="350" t="s">
        <v>2654</v>
      </c>
      <c r="G683" s="350"/>
      <c r="H683" s="350"/>
      <c r="I683" s="350"/>
      <c r="J683" s="350" t="s">
        <v>793</v>
      </c>
      <c r="K683" s="350" t="s">
        <v>793</v>
      </c>
      <c r="L683" s="350" t="s">
        <v>793</v>
      </c>
      <c r="M683" s="350"/>
      <c r="N683" s="350">
        <v>20.821479797363299</v>
      </c>
      <c r="O683" s="350">
        <v>92.603950500488295</v>
      </c>
      <c r="P683" s="350"/>
      <c r="Q683" s="350" t="s">
        <v>2602</v>
      </c>
      <c r="R683" s="353"/>
      <c r="S683" s="354"/>
      <c r="T683" s="373">
        <v>43580</v>
      </c>
      <c r="U683" s="355" t="s">
        <v>2648</v>
      </c>
      <c r="V683" s="350"/>
      <c r="W683" s="350"/>
      <c r="X683" s="454"/>
      <c r="Y683" s="454"/>
      <c r="Z683" s="454"/>
    </row>
    <row r="684" spans="1:26" s="67" customFormat="1" ht="14.25" hidden="1" customHeight="1">
      <c r="A684" s="350" t="s">
        <v>2623</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2623</v>
      </c>
      <c r="B685" s="456" t="s">
        <v>318</v>
      </c>
      <c r="C685" s="456" t="s">
        <v>2598</v>
      </c>
      <c r="D685" s="399"/>
      <c r="E685" s="456">
        <v>198369</v>
      </c>
      <c r="H685" s="350"/>
      <c r="J685" s="67" t="s">
        <v>2629</v>
      </c>
      <c r="K685" s="67" t="s">
        <v>2597</v>
      </c>
      <c r="L685" s="67" t="s">
        <v>2597</v>
      </c>
      <c r="Q685" s="350"/>
      <c r="R685" s="353"/>
      <c r="S685" s="354"/>
      <c r="T685" s="373"/>
      <c r="U685" s="87"/>
      <c r="V685" s="454"/>
      <c r="X685" s="454"/>
      <c r="Y685" s="454"/>
      <c r="Z685" s="454"/>
    </row>
    <row r="686" spans="1:26" s="67" customFormat="1" ht="14.25" hidden="1" customHeight="1">
      <c r="A686" s="350" t="s">
        <v>2623</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2623</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2623</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2623</v>
      </c>
      <c r="B689" s="351" t="s">
        <v>318</v>
      </c>
      <c r="C689" s="351" t="s">
        <v>2497</v>
      </c>
      <c r="D689" s="399"/>
      <c r="E689" s="67">
        <v>198404</v>
      </c>
      <c r="F689" s="350" t="s">
        <v>2608</v>
      </c>
      <c r="J689" s="350" t="s">
        <v>2629</v>
      </c>
      <c r="K689" s="350" t="s">
        <v>2597</v>
      </c>
      <c r="L689" s="67" t="s">
        <v>2597</v>
      </c>
      <c r="M689" s="67" t="s">
        <v>293</v>
      </c>
      <c r="N689" s="67">
        <v>20.769779209999999</v>
      </c>
      <c r="O689" s="67">
        <v>92.604240419999996</v>
      </c>
      <c r="P689" s="67" t="s">
        <v>794</v>
      </c>
      <c r="Q689" s="67" t="s">
        <v>2602</v>
      </c>
      <c r="R689" s="85"/>
      <c r="S689" s="86"/>
      <c r="T689" s="91"/>
      <c r="U689" s="87"/>
      <c r="W689" s="350"/>
      <c r="X689" s="454"/>
      <c r="Y689" s="454"/>
      <c r="Z689" s="454"/>
    </row>
    <row r="690" spans="1:26" s="67" customFormat="1" ht="14.25" hidden="1" customHeight="1">
      <c r="A690" s="350" t="s">
        <v>2623</v>
      </c>
      <c r="B690" s="456" t="s">
        <v>318</v>
      </c>
      <c r="C690" s="456" t="s">
        <v>2499</v>
      </c>
      <c r="D690" s="399"/>
      <c r="E690" s="67">
        <v>198303</v>
      </c>
      <c r="F690" s="67" t="s">
        <v>2609</v>
      </c>
      <c r="J690" s="350" t="s">
        <v>793</v>
      </c>
      <c r="K690" s="350" t="s">
        <v>793</v>
      </c>
      <c r="L690" s="350" t="s">
        <v>793</v>
      </c>
      <c r="M690" s="67" t="s">
        <v>293</v>
      </c>
      <c r="N690" s="67">
        <v>20.892290119999998</v>
      </c>
      <c r="O690" s="67">
        <v>92.550079350000004</v>
      </c>
      <c r="Q690" s="67" t="s">
        <v>2602</v>
      </c>
      <c r="R690" s="353"/>
      <c r="S690" s="86"/>
      <c r="T690" s="91"/>
      <c r="U690" s="87"/>
      <c r="X690" s="454"/>
      <c r="Y690" s="454"/>
      <c r="Z690" s="454"/>
    </row>
    <row r="691" spans="1:26" s="67" customFormat="1" ht="14.25" hidden="1" customHeight="1">
      <c r="A691" s="350" t="s">
        <v>2623</v>
      </c>
      <c r="B691" s="454" t="s">
        <v>318</v>
      </c>
      <c r="C691" s="454" t="s">
        <v>648</v>
      </c>
      <c r="D691" s="399" t="s">
        <v>1635</v>
      </c>
      <c r="E691" s="67">
        <v>198303</v>
      </c>
      <c r="F691" s="67" t="s">
        <v>2609</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2623</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2623</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2623</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2623</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2623</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2623</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2623</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2623</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2623</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2623</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2623</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2623</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2623</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2623</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2623</v>
      </c>
      <c r="B706" s="350" t="s">
        <v>318</v>
      </c>
      <c r="C706" s="350" t="s">
        <v>2739</v>
      </c>
      <c r="D706" s="399"/>
      <c r="E706" s="350">
        <v>198289</v>
      </c>
      <c r="F706" s="350"/>
      <c r="G706" s="350"/>
      <c r="H706" s="350"/>
      <c r="I706" s="350"/>
      <c r="J706" s="350" t="s">
        <v>2629</v>
      </c>
      <c r="K706" s="350" t="s">
        <v>2597</v>
      </c>
      <c r="L706" s="350" t="s">
        <v>2597</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2623</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2623</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2623</v>
      </c>
      <c r="B709" s="472" t="s">
        <v>318</v>
      </c>
      <c r="C709" s="471" t="s">
        <v>2496</v>
      </c>
      <c r="D709" s="399"/>
      <c r="E709" s="350">
        <v>198405</v>
      </c>
      <c r="F709" s="472" t="s">
        <v>2608</v>
      </c>
      <c r="G709" s="350"/>
      <c r="H709" s="350"/>
      <c r="I709" s="350"/>
      <c r="J709" s="350" t="s">
        <v>793</v>
      </c>
      <c r="K709" s="350" t="s">
        <v>793</v>
      </c>
      <c r="L709" s="350" t="s">
        <v>793</v>
      </c>
      <c r="M709" s="67" t="s">
        <v>790</v>
      </c>
      <c r="Q709" s="350" t="s">
        <v>2602</v>
      </c>
      <c r="R709" s="473"/>
      <c r="S709" s="474"/>
      <c r="T709" s="373"/>
      <c r="U709" s="355"/>
      <c r="W709" s="350"/>
      <c r="X709" s="454"/>
      <c r="Y709" s="454"/>
      <c r="Z709" s="454"/>
    </row>
    <row r="710" spans="1:26" s="67" customFormat="1" ht="14.25" hidden="1" customHeight="1">
      <c r="A710" s="350" t="s">
        <v>2623</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2623</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2623</v>
      </c>
      <c r="B712" s="368" t="s">
        <v>318</v>
      </c>
      <c r="C712" s="367" t="s">
        <v>2518</v>
      </c>
      <c r="D712" s="399"/>
      <c r="F712" s="350"/>
      <c r="J712" s="67" t="s">
        <v>2629</v>
      </c>
      <c r="K712" s="67" t="s">
        <v>2597</v>
      </c>
      <c r="L712" s="67" t="s">
        <v>2597</v>
      </c>
      <c r="N712" s="350"/>
      <c r="O712" s="350"/>
      <c r="Q712" s="350"/>
      <c r="R712" s="369"/>
      <c r="S712" s="370"/>
      <c r="T712" s="373"/>
      <c r="U712" s="87"/>
      <c r="W712" s="350"/>
      <c r="X712" s="454"/>
      <c r="Y712" s="454"/>
      <c r="Z712" s="454"/>
    </row>
    <row r="713" spans="1:26" s="67" customFormat="1" ht="14.25" hidden="1" customHeight="1">
      <c r="A713" s="350" t="s">
        <v>2623</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2623</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2623</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2623</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2623</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2623</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2623</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2623</v>
      </c>
      <c r="B720" s="372" t="s">
        <v>318</v>
      </c>
      <c r="C720" s="471" t="s">
        <v>2485</v>
      </c>
      <c r="D720" s="399"/>
      <c r="E720" s="67">
        <v>198351</v>
      </c>
      <c r="F720" s="350" t="s">
        <v>2484</v>
      </c>
      <c r="J720" s="67" t="s">
        <v>793</v>
      </c>
      <c r="K720" s="67" t="s">
        <v>793</v>
      </c>
      <c r="L720" s="67" t="s">
        <v>793</v>
      </c>
      <c r="M720" s="67" t="s">
        <v>790</v>
      </c>
      <c r="Q720" s="67" t="s">
        <v>2602</v>
      </c>
      <c r="R720" s="353"/>
      <c r="S720" s="354"/>
      <c r="T720" s="91"/>
      <c r="U720" s="87"/>
      <c r="X720" s="454"/>
      <c r="Y720" s="454"/>
      <c r="Z720" s="454"/>
    </row>
    <row r="721" spans="1:26" s="67" customFormat="1" ht="14.25" hidden="1" customHeight="1">
      <c r="A721" s="454" t="s">
        <v>2623</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2623</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2623</v>
      </c>
      <c r="B723" s="415" t="s">
        <v>318</v>
      </c>
      <c r="C723" s="419" t="s">
        <v>2696</v>
      </c>
      <c r="D723" s="457"/>
      <c r="E723" s="408">
        <v>198401</v>
      </c>
      <c r="F723" s="408"/>
      <c r="G723" s="408"/>
      <c r="H723" s="408"/>
      <c r="I723" s="408"/>
      <c r="J723" s="67" t="s">
        <v>2629</v>
      </c>
      <c r="K723" s="67" t="s">
        <v>2597</v>
      </c>
      <c r="L723" s="67" t="s">
        <v>2597</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2623</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2602</v>
      </c>
      <c r="R724" s="353"/>
      <c r="S724" s="354"/>
      <c r="T724" s="91">
        <v>43580</v>
      </c>
      <c r="U724" s="87" t="s">
        <v>2648</v>
      </c>
      <c r="V724" s="67" t="s">
        <v>571</v>
      </c>
      <c r="X724" s="454"/>
      <c r="Y724" s="454"/>
      <c r="Z724" s="454"/>
    </row>
    <row r="725" spans="1:26" s="67" customFormat="1" ht="14.25" hidden="1" customHeight="1">
      <c r="A725" s="350" t="s">
        <v>2623</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2623</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2623</v>
      </c>
      <c r="B727" s="472" t="s">
        <v>318</v>
      </c>
      <c r="C727" s="471" t="s">
        <v>2487</v>
      </c>
      <c r="D727" s="399"/>
      <c r="F727" s="67" t="s">
        <v>2604</v>
      </c>
      <c r="J727" s="67" t="s">
        <v>793</v>
      </c>
      <c r="K727" s="350" t="s">
        <v>793</v>
      </c>
      <c r="L727" s="350" t="s">
        <v>793</v>
      </c>
      <c r="M727" s="67" t="s">
        <v>790</v>
      </c>
      <c r="Q727" s="67" t="s">
        <v>2602</v>
      </c>
      <c r="R727" s="353"/>
      <c r="S727" s="354"/>
      <c r="T727" s="91"/>
      <c r="U727" s="87"/>
      <c r="X727" s="454"/>
      <c r="Y727" s="454"/>
      <c r="Z727" s="454"/>
    </row>
    <row r="728" spans="1:26" s="67" customFormat="1" ht="14.25" hidden="1" customHeight="1">
      <c r="A728" s="350" t="s">
        <v>2623</v>
      </c>
      <c r="B728" s="368" t="s">
        <v>318</v>
      </c>
      <c r="C728" s="367" t="s">
        <v>585</v>
      </c>
      <c r="D728" s="399" t="s">
        <v>1635</v>
      </c>
      <c r="E728" s="67">
        <v>198409</v>
      </c>
      <c r="F728" s="67" t="s">
        <v>2610</v>
      </c>
      <c r="J728" s="67" t="s">
        <v>793</v>
      </c>
      <c r="K728" s="67" t="s">
        <v>793</v>
      </c>
      <c r="L728" s="67" t="s">
        <v>793</v>
      </c>
      <c r="M728" s="67" t="s">
        <v>293</v>
      </c>
      <c r="N728" s="67">
        <v>20.767719270000001</v>
      </c>
      <c r="O728" s="67">
        <v>92.631736759999995</v>
      </c>
      <c r="P728" s="67" t="s">
        <v>794</v>
      </c>
      <c r="Q728" s="67" t="s">
        <v>2602</v>
      </c>
      <c r="R728" s="353"/>
      <c r="S728" s="354"/>
      <c r="T728" s="91"/>
      <c r="U728" s="87"/>
      <c r="V728" s="67" t="s">
        <v>585</v>
      </c>
      <c r="X728" s="454"/>
      <c r="Y728" s="454"/>
      <c r="Z728" s="454"/>
    </row>
    <row r="729" spans="1:26" s="67" customFormat="1" ht="14.25" hidden="1" customHeight="1">
      <c r="A729" s="350" t="s">
        <v>2623</v>
      </c>
      <c r="B729" s="368" t="s">
        <v>318</v>
      </c>
      <c r="C729" s="367" t="s">
        <v>2758</v>
      </c>
      <c r="D729" s="399"/>
      <c r="E729" s="67">
        <v>198362</v>
      </c>
      <c r="J729" s="67" t="s">
        <v>2629</v>
      </c>
      <c r="K729" s="67" t="s">
        <v>2597</v>
      </c>
      <c r="L729" s="67" t="s">
        <v>2597</v>
      </c>
      <c r="R729" s="353"/>
      <c r="S729" s="354"/>
      <c r="T729" s="91"/>
      <c r="U729" s="87"/>
      <c r="W729" s="350"/>
      <c r="X729" s="454"/>
      <c r="Y729" s="454"/>
      <c r="Z729" s="454"/>
    </row>
    <row r="730" spans="1:26" s="67" customFormat="1" ht="14.25" hidden="1" customHeight="1">
      <c r="A730" s="350" t="s">
        <v>2623</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2623</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2623</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2623</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2623</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2623</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2623</v>
      </c>
      <c r="B736" s="368" t="s">
        <v>318</v>
      </c>
      <c r="C736" s="367" t="s">
        <v>2784</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2623</v>
      </c>
      <c r="B737" s="368" t="s">
        <v>318</v>
      </c>
      <c r="C737" s="367" t="s">
        <v>2489</v>
      </c>
      <c r="D737" s="399"/>
      <c r="E737" s="67">
        <v>198337</v>
      </c>
      <c r="F737" s="67" t="s">
        <v>608</v>
      </c>
      <c r="J737" s="67" t="s">
        <v>793</v>
      </c>
      <c r="K737" s="67" t="s">
        <v>793</v>
      </c>
      <c r="L737" s="67" t="s">
        <v>793</v>
      </c>
      <c r="M737" s="67" t="s">
        <v>293</v>
      </c>
      <c r="Q737" s="67" t="s">
        <v>2602</v>
      </c>
      <c r="R737" s="353"/>
      <c r="S737" s="354"/>
      <c r="T737" s="91"/>
      <c r="U737" s="87"/>
      <c r="X737" s="454"/>
      <c r="Y737" s="454"/>
      <c r="Z737" s="454"/>
    </row>
    <row r="738" spans="1:26" s="67" customFormat="1" ht="14.25" hidden="1" customHeight="1">
      <c r="A738" s="350" t="s">
        <v>2623</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2623</v>
      </c>
      <c r="B739" s="476" t="s">
        <v>318</v>
      </c>
      <c r="C739" s="475" t="s">
        <v>2488</v>
      </c>
      <c r="D739" s="399"/>
      <c r="E739" s="67">
        <v>198363</v>
      </c>
      <c r="F739" s="67" t="s">
        <v>2604</v>
      </c>
      <c r="J739" s="67" t="s">
        <v>793</v>
      </c>
      <c r="K739" s="67" t="s">
        <v>793</v>
      </c>
      <c r="L739" s="67" t="s">
        <v>793</v>
      </c>
      <c r="M739" s="67" t="s">
        <v>293</v>
      </c>
      <c r="Q739" s="67" t="s">
        <v>2602</v>
      </c>
      <c r="R739" s="353"/>
      <c r="S739" s="354"/>
      <c r="T739" s="91"/>
      <c r="U739" s="87"/>
      <c r="X739" s="454"/>
      <c r="Y739" s="454"/>
      <c r="Z739" s="454"/>
    </row>
    <row r="740" spans="1:26" s="67" customFormat="1" ht="14.25" hidden="1" customHeight="1">
      <c r="A740" s="350" t="s">
        <v>2623</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2623</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2623</v>
      </c>
      <c r="B742" s="472" t="s">
        <v>318</v>
      </c>
      <c r="C742" s="471" t="s">
        <v>2498</v>
      </c>
      <c r="D742" s="399" t="s">
        <v>1635</v>
      </c>
      <c r="E742" s="67">
        <v>198300</v>
      </c>
      <c r="F742" s="350" t="s">
        <v>2609</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2623</v>
      </c>
      <c r="B743" s="431" t="s">
        <v>318</v>
      </c>
      <c r="C743" s="433" t="s">
        <v>2494</v>
      </c>
      <c r="D743" s="457"/>
      <c r="E743" s="171">
        <v>198434</v>
      </c>
      <c r="F743" s="171" t="s">
        <v>2607</v>
      </c>
      <c r="G743" s="171"/>
      <c r="H743" s="171"/>
      <c r="I743" s="171"/>
      <c r="J743" s="171" t="s">
        <v>793</v>
      </c>
      <c r="K743" s="171" t="s">
        <v>793</v>
      </c>
      <c r="L743" s="171" t="s">
        <v>793</v>
      </c>
      <c r="M743" s="171" t="s">
        <v>790</v>
      </c>
      <c r="N743" s="171"/>
      <c r="O743" s="171"/>
      <c r="P743" s="171"/>
      <c r="Q743" s="171" t="s">
        <v>2602</v>
      </c>
      <c r="R743" s="172"/>
      <c r="S743" s="170"/>
      <c r="T743" s="173"/>
      <c r="U743" s="174"/>
      <c r="V743" s="171"/>
      <c r="W743" s="458"/>
      <c r="X743" s="454"/>
      <c r="Y743" s="454"/>
      <c r="Z743" s="454"/>
    </row>
    <row r="744" spans="1:26" s="67" customFormat="1" ht="14.25" hidden="1" customHeight="1">
      <c r="A744" s="462" t="s">
        <v>2623</v>
      </c>
      <c r="B744" s="473" t="s">
        <v>318</v>
      </c>
      <c r="C744" s="382" t="s">
        <v>2495</v>
      </c>
      <c r="D744" s="457"/>
      <c r="E744" s="67">
        <v>198433</v>
      </c>
      <c r="F744" s="67" t="s">
        <v>2607</v>
      </c>
      <c r="J744" s="67" t="s">
        <v>793</v>
      </c>
      <c r="K744" s="350" t="s">
        <v>793</v>
      </c>
      <c r="L744" s="350" t="s">
        <v>793</v>
      </c>
      <c r="M744" s="67" t="s">
        <v>293</v>
      </c>
      <c r="O744" s="350"/>
      <c r="Q744" s="67" t="s">
        <v>2602</v>
      </c>
      <c r="R744" s="466"/>
      <c r="S744" s="354"/>
      <c r="T744" s="91"/>
      <c r="U744" s="466"/>
      <c r="W744" s="458"/>
      <c r="X744" s="454"/>
      <c r="Y744" s="454"/>
      <c r="Z744" s="454"/>
    </row>
    <row r="745" spans="1:26" s="67" customFormat="1" ht="14.25" hidden="1" customHeight="1">
      <c r="A745" s="350" t="s">
        <v>2623</v>
      </c>
      <c r="B745" s="368" t="s">
        <v>318</v>
      </c>
      <c r="C745" s="419" t="s">
        <v>2697</v>
      </c>
      <c r="D745" s="399"/>
      <c r="F745" s="408"/>
      <c r="J745" s="67" t="s">
        <v>2629</v>
      </c>
      <c r="K745" s="67" t="s">
        <v>2597</v>
      </c>
      <c r="L745" s="67" t="s">
        <v>2597</v>
      </c>
      <c r="R745" s="353"/>
      <c r="S745" s="86"/>
      <c r="T745" s="410">
        <v>43591</v>
      </c>
      <c r="U745" s="411"/>
      <c r="X745" s="454"/>
      <c r="Y745" s="454"/>
      <c r="Z745" s="454"/>
    </row>
    <row r="746" spans="1:26" s="454" customFormat="1" ht="14.25" hidden="1" customHeight="1">
      <c r="A746" s="454" t="s">
        <v>2623</v>
      </c>
      <c r="B746" s="472" t="s">
        <v>318</v>
      </c>
      <c r="C746" s="417" t="s">
        <v>2649</v>
      </c>
      <c r="D746" s="457" t="s">
        <v>1635</v>
      </c>
      <c r="E746" s="454">
        <v>198398</v>
      </c>
      <c r="F746" s="454" t="s">
        <v>2650</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2648</v>
      </c>
      <c r="V746" s="454" t="s">
        <v>576</v>
      </c>
      <c r="W746" s="458"/>
    </row>
    <row r="747" spans="1:26" s="67" customFormat="1" ht="14.25" hidden="1" customHeight="1">
      <c r="A747" s="350" t="s">
        <v>2623</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2623</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2623</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2623</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2623</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2623</v>
      </c>
      <c r="B752" s="372" t="s">
        <v>318</v>
      </c>
      <c r="C752" s="371" t="s">
        <v>2519</v>
      </c>
      <c r="D752" s="399"/>
      <c r="J752" s="67" t="s">
        <v>2629</v>
      </c>
      <c r="K752" s="350" t="s">
        <v>2597</v>
      </c>
      <c r="L752" s="350" t="s">
        <v>2597</v>
      </c>
      <c r="R752" s="353"/>
      <c r="S752" s="354"/>
      <c r="T752" s="91"/>
      <c r="U752" s="87"/>
      <c r="X752" s="454"/>
      <c r="Y752" s="454"/>
      <c r="Z752" s="454"/>
    </row>
    <row r="753" spans="1:26" ht="14.25" hidden="1" customHeight="1">
      <c r="A753" s="350" t="s">
        <v>2623</v>
      </c>
      <c r="B753" s="372" t="s">
        <v>318</v>
      </c>
      <c r="C753" s="371" t="s">
        <v>2486</v>
      </c>
      <c r="D753" s="399"/>
      <c r="E753" s="350">
        <v>198370</v>
      </c>
      <c r="F753" s="350" t="s">
        <v>2603</v>
      </c>
      <c r="G753" s="350"/>
      <c r="H753" s="350"/>
      <c r="I753" s="350"/>
      <c r="J753" s="67" t="s">
        <v>793</v>
      </c>
      <c r="K753" s="472" t="s">
        <v>793</v>
      </c>
      <c r="L753" s="472" t="s">
        <v>793</v>
      </c>
      <c r="M753" s="67" t="s">
        <v>790</v>
      </c>
      <c r="N753" s="67"/>
      <c r="O753" s="67"/>
      <c r="P753" s="350"/>
      <c r="Q753" s="67" t="s">
        <v>2602</v>
      </c>
      <c r="R753" s="353"/>
      <c r="S753" s="354"/>
      <c r="T753" s="91"/>
      <c r="U753" s="87"/>
      <c r="V753" s="67"/>
      <c r="W753" s="350"/>
      <c r="X753" s="454"/>
      <c r="Y753" s="454"/>
      <c r="Z753" s="454"/>
    </row>
    <row r="754" spans="1:26" ht="14.25" hidden="1" customHeight="1">
      <c r="A754" s="350" t="s">
        <v>2623</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2623</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2623</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2623</v>
      </c>
      <c r="B757" s="462" t="s">
        <v>318</v>
      </c>
      <c r="C757" s="498" t="s">
        <v>2783</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2623</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2623</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2602</v>
      </c>
      <c r="R759" s="409"/>
      <c r="S759" s="406"/>
      <c r="T759" s="410">
        <v>43580</v>
      </c>
      <c r="U759" s="411" t="s">
        <v>2648</v>
      </c>
      <c r="V759" s="412"/>
      <c r="W759" s="458"/>
      <c r="X759" s="454"/>
      <c r="Y759" s="454"/>
      <c r="Z759" s="454"/>
    </row>
    <row r="760" spans="1:26" ht="14.25" hidden="1" customHeight="1">
      <c r="A760" s="406" t="s">
        <v>2623</v>
      </c>
      <c r="B760" s="414" t="s">
        <v>318</v>
      </c>
      <c r="C760" s="432" t="s">
        <v>2652</v>
      </c>
      <c r="D760" s="457"/>
      <c r="E760" s="408">
        <v>198326</v>
      </c>
      <c r="F760" s="408" t="s">
        <v>2653</v>
      </c>
      <c r="G760" s="408"/>
      <c r="H760" s="408"/>
      <c r="I760" s="408"/>
      <c r="J760" s="67" t="s">
        <v>793</v>
      </c>
      <c r="K760" s="456" t="s">
        <v>793</v>
      </c>
      <c r="L760" s="456" t="s">
        <v>793</v>
      </c>
      <c r="M760" s="408"/>
      <c r="N760" s="408">
        <v>20.8608493804932</v>
      </c>
      <c r="O760" s="408">
        <v>92.539390563964801</v>
      </c>
      <c r="P760" s="408"/>
      <c r="Q760" s="408" t="s">
        <v>2602</v>
      </c>
      <c r="R760" s="409"/>
      <c r="S760" s="406"/>
      <c r="T760" s="410">
        <v>43580</v>
      </c>
      <c r="U760" s="411" t="s">
        <v>2648</v>
      </c>
      <c r="V760" s="412"/>
      <c r="W760" s="458"/>
      <c r="X760" s="454"/>
      <c r="Y760" s="454"/>
      <c r="Z760" s="454"/>
    </row>
    <row r="761" spans="1:26" ht="14.25" hidden="1" customHeight="1">
      <c r="A761" s="462" t="s">
        <v>2623</v>
      </c>
      <c r="B761" s="462" t="s">
        <v>318</v>
      </c>
      <c r="C761" s="487" t="s">
        <v>2698</v>
      </c>
      <c r="D761" s="457"/>
      <c r="E761" s="67">
        <v>198326</v>
      </c>
      <c r="F761" s="350"/>
      <c r="G761" s="67"/>
      <c r="H761" s="67"/>
      <c r="I761" s="67"/>
      <c r="J761" s="67" t="s">
        <v>2629</v>
      </c>
      <c r="K761" s="456" t="s">
        <v>2597</v>
      </c>
      <c r="L761" s="456" t="s">
        <v>2597</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2623</v>
      </c>
      <c r="B762" s="377" t="s">
        <v>318</v>
      </c>
      <c r="C762" s="487" t="s">
        <v>2789</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2623</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2623</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2623</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2623</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2623</v>
      </c>
      <c r="B767" s="486" t="s">
        <v>304</v>
      </c>
      <c r="C767" s="417" t="s">
        <v>2675</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2623</v>
      </c>
      <c r="B768" s="476" t="s">
        <v>304</v>
      </c>
      <c r="C768" s="475" t="s">
        <v>2674</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2623</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2623</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2623</v>
      </c>
      <c r="B771" s="414" t="s">
        <v>304</v>
      </c>
      <c r="C771" s="416" t="s">
        <v>2660</v>
      </c>
      <c r="D771" s="457"/>
      <c r="E771" s="408"/>
      <c r="F771" s="408"/>
      <c r="G771" s="408"/>
      <c r="H771" s="408"/>
      <c r="I771" s="408"/>
      <c r="J771" s="408" t="s">
        <v>2629</v>
      </c>
      <c r="K771" s="408" t="s">
        <v>2597</v>
      </c>
      <c r="L771" s="408" t="s">
        <v>2597</v>
      </c>
      <c r="M771" s="408"/>
      <c r="N771" s="408"/>
      <c r="O771" s="408"/>
      <c r="P771" s="408"/>
      <c r="Q771" s="408" t="s">
        <v>2602</v>
      </c>
      <c r="R771" s="409"/>
      <c r="S771" s="406"/>
      <c r="T771" s="410">
        <v>43580</v>
      </c>
      <c r="U771" s="411" t="s">
        <v>2648</v>
      </c>
      <c r="V771" s="412"/>
      <c r="W771" s="458"/>
      <c r="X771" s="454"/>
      <c r="Y771" s="454"/>
      <c r="Z771" s="454"/>
    </row>
    <row r="772" spans="1:26" ht="14.25" hidden="1" customHeight="1">
      <c r="A772" s="350" t="s">
        <v>2623</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2623</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2623</v>
      </c>
      <c r="B774" s="407" t="s">
        <v>304</v>
      </c>
      <c r="C774" s="416" t="s">
        <v>956</v>
      </c>
      <c r="D774" s="352" t="s">
        <v>1635</v>
      </c>
      <c r="E774" s="408">
        <v>197817</v>
      </c>
      <c r="F774" s="420" t="s">
        <v>2658</v>
      </c>
      <c r="G774" s="408"/>
      <c r="H774" s="408"/>
      <c r="I774" s="408"/>
      <c r="J774" s="408" t="s">
        <v>2629</v>
      </c>
      <c r="K774" s="408" t="s">
        <v>2597</v>
      </c>
      <c r="L774" s="408" t="s">
        <v>2597</v>
      </c>
      <c r="M774" s="67" t="s">
        <v>790</v>
      </c>
      <c r="N774" s="67">
        <v>21.2688694</v>
      </c>
      <c r="O774" s="350">
        <v>92.274917599999995</v>
      </c>
      <c r="P774" s="67" t="s">
        <v>794</v>
      </c>
      <c r="Q774" s="408" t="s">
        <v>2602</v>
      </c>
      <c r="R774" s="421"/>
      <c r="S774" s="418"/>
      <c r="T774" s="410">
        <v>43580</v>
      </c>
      <c r="U774" s="411" t="s">
        <v>2648</v>
      </c>
      <c r="V774" s="67" t="s">
        <v>955</v>
      </c>
      <c r="W774" s="458"/>
      <c r="X774" s="454"/>
      <c r="Y774" s="454"/>
      <c r="Z774" s="454"/>
    </row>
    <row r="775" spans="1:26" ht="14.25" hidden="1" customHeight="1">
      <c r="A775" s="350" t="s">
        <v>2623</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2623</v>
      </c>
      <c r="B776" s="476" t="s">
        <v>304</v>
      </c>
      <c r="C776" s="475" t="s">
        <v>2502</v>
      </c>
      <c r="D776" s="399"/>
      <c r="E776" s="67">
        <v>197968</v>
      </c>
      <c r="F776" s="456" t="s">
        <v>2504</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2623</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2623</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2623</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2623</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2623</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2623</v>
      </c>
      <c r="B782" s="407" t="s">
        <v>304</v>
      </c>
      <c r="C782" s="416" t="s">
        <v>2655</v>
      </c>
      <c r="D782" s="457"/>
      <c r="E782" s="408">
        <v>197800</v>
      </c>
      <c r="F782" s="408" t="s">
        <v>2656</v>
      </c>
      <c r="G782" s="408"/>
      <c r="H782" s="408"/>
      <c r="I782" s="408"/>
      <c r="J782" s="350" t="s">
        <v>793</v>
      </c>
      <c r="K782" s="350" t="s">
        <v>793</v>
      </c>
      <c r="L782" s="350" t="s">
        <v>793</v>
      </c>
      <c r="M782" s="408"/>
      <c r="N782" s="408">
        <v>21.363349914550799</v>
      </c>
      <c r="O782" s="408">
        <v>92.280487060546903</v>
      </c>
      <c r="P782" s="408"/>
      <c r="Q782" s="408" t="s">
        <v>2602</v>
      </c>
      <c r="R782" s="421"/>
      <c r="S782" s="418"/>
      <c r="T782" s="410">
        <v>43580</v>
      </c>
      <c r="U782" s="411" t="s">
        <v>2648</v>
      </c>
      <c r="V782" s="412"/>
      <c r="W782" s="458"/>
      <c r="X782" s="454"/>
      <c r="Y782" s="454"/>
      <c r="Z782" s="454"/>
    </row>
    <row r="783" spans="1:26" ht="14.25" hidden="1" customHeight="1">
      <c r="A783" s="350" t="s">
        <v>2623</v>
      </c>
      <c r="B783" s="476" t="s">
        <v>304</v>
      </c>
      <c r="C783" s="475" t="s">
        <v>656</v>
      </c>
      <c r="D783" s="399" t="s">
        <v>1635</v>
      </c>
      <c r="E783" s="67">
        <v>220734</v>
      </c>
      <c r="F783" s="67" t="s">
        <v>2611</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2623</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2623</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2623</v>
      </c>
      <c r="B786" s="372" t="s">
        <v>304</v>
      </c>
      <c r="C786" s="371" t="s">
        <v>2263</v>
      </c>
      <c r="D786" s="399"/>
      <c r="E786" s="499">
        <v>196937</v>
      </c>
      <c r="F786" s="456" t="s">
        <v>2611</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2623</v>
      </c>
      <c r="B787" s="372" t="s">
        <v>304</v>
      </c>
      <c r="C787" s="371" t="s">
        <v>2018</v>
      </c>
      <c r="D787" s="399"/>
      <c r="E787" s="67">
        <v>197947</v>
      </c>
      <c r="F787" s="350" t="s">
        <v>2611</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2623</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2623</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2623</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2623</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2623</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2623</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2623</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2623</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2623</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2623</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2623</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2623</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2623</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2623</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2623</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2623</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2623</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2623</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2623</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2623</v>
      </c>
      <c r="B807" s="476" t="s">
        <v>304</v>
      </c>
      <c r="C807" s="475" t="s">
        <v>1879</v>
      </c>
      <c r="D807" s="399"/>
      <c r="E807" s="67">
        <v>197969</v>
      </c>
      <c r="F807" s="350" t="s">
        <v>2504</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2623</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2623</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2623</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2623</v>
      </c>
      <c r="B811" s="476" t="s">
        <v>304</v>
      </c>
      <c r="C811" s="475" t="s">
        <v>2503</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2623</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2623</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2623</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2623</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2623</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2623</v>
      </c>
      <c r="B817" s="486" t="s">
        <v>304</v>
      </c>
      <c r="C817" s="487" t="s">
        <v>2785</v>
      </c>
      <c r="D817" s="457"/>
      <c r="E817" s="67">
        <v>217895</v>
      </c>
      <c r="F817" s="484" t="s">
        <v>2791</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2623</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2623</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2623</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2623</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2623</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2623</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2623</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2623</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2623</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2623</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2623</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2623</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2623</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2623</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2623</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2623</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2623</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2623</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2623</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2623</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2623</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2623</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2623</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2623</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2623</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2623</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2623</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2623</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2623</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2623</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2623</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2623</v>
      </c>
      <c r="B849" s="377" t="s">
        <v>304</v>
      </c>
      <c r="C849" s="378" t="s">
        <v>2677</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2623</v>
      </c>
      <c r="B850" s="476" t="s">
        <v>304</v>
      </c>
      <c r="C850" s="475" t="s">
        <v>2676</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2623</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2623</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2623</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2623</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2623</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2623</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2623</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2623</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2623</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2623</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2623</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2623</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2623</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2623</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2623</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2623</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2623</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2623</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2623</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2623</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2623</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2623</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2623</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2623</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2623</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2623</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2623</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2623</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2623</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2623</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2623</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2623</v>
      </c>
      <c r="B882" s="372" t="s">
        <v>304</v>
      </c>
      <c r="C882" s="371" t="s">
        <v>2500</v>
      </c>
      <c r="D882" s="399"/>
      <c r="E882" s="340"/>
      <c r="F882" s="340" t="s">
        <v>2612</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2623</v>
      </c>
      <c r="B883" s="486" t="s">
        <v>304</v>
      </c>
      <c r="C883" s="487" t="s">
        <v>2786</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2623</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2623</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2623</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2623</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2623</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2623</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2623</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2623</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2623</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2623</v>
      </c>
      <c r="B893" s="377" t="s">
        <v>304</v>
      </c>
      <c r="C893" s="487" t="s">
        <v>2787</v>
      </c>
      <c r="D893" s="352"/>
      <c r="E893" s="340">
        <v>198002</v>
      </c>
      <c r="F893" s="350" t="s">
        <v>2791</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2623</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2623</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2623</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2623</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2623</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2623</v>
      </c>
      <c r="B899" s="407" t="s">
        <v>304</v>
      </c>
      <c r="C899" s="416" t="s">
        <v>2661</v>
      </c>
      <c r="D899" s="352"/>
      <c r="E899" s="408">
        <v>198085</v>
      </c>
      <c r="F899" s="408" t="s">
        <v>2647</v>
      </c>
      <c r="G899" s="408"/>
      <c r="H899" s="408"/>
      <c r="I899" s="408"/>
      <c r="J899" s="408" t="s">
        <v>2629</v>
      </c>
      <c r="K899" s="408" t="s">
        <v>2597</v>
      </c>
      <c r="L899" s="408" t="s">
        <v>2597</v>
      </c>
      <c r="M899" s="408"/>
      <c r="N899" s="408">
        <v>20.4804992675781</v>
      </c>
      <c r="O899" s="482">
        <v>92.611358642578097</v>
      </c>
      <c r="P899" s="408"/>
      <c r="Q899" s="408" t="s">
        <v>2602</v>
      </c>
      <c r="R899" s="409"/>
      <c r="S899" s="406"/>
      <c r="T899" s="410">
        <v>43580</v>
      </c>
      <c r="U899" s="411" t="s">
        <v>2648</v>
      </c>
      <c r="V899" s="412"/>
      <c r="W899" s="458"/>
      <c r="X899" s="454"/>
      <c r="Y899" s="454"/>
      <c r="Z899" s="454"/>
    </row>
    <row r="900" spans="1:26" ht="14.25" hidden="1" customHeight="1">
      <c r="A900" s="350" t="s">
        <v>2623</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2623</v>
      </c>
      <c r="B901" s="486" t="s">
        <v>304</v>
      </c>
      <c r="C901" s="487" t="s">
        <v>2665</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2623</v>
      </c>
      <c r="B902" s="372" t="s">
        <v>304</v>
      </c>
      <c r="C902" s="371" t="s">
        <v>2664</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2623</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2623</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2623</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2623</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2623</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2623</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2623</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2623</v>
      </c>
      <c r="B910" s="372" t="s">
        <v>304</v>
      </c>
      <c r="C910" s="371" t="s">
        <v>2678</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2623</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2623</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2623</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2623</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2623</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2623</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2623</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2623</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2623</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2623</v>
      </c>
      <c r="B920" s="372" t="s">
        <v>304</v>
      </c>
      <c r="C920" s="371" t="s">
        <v>2501</v>
      </c>
      <c r="D920" s="399"/>
      <c r="E920" s="454">
        <v>220736</v>
      </c>
      <c r="F920" s="340" t="s">
        <v>2613</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2623</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2623</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2623</v>
      </c>
      <c r="B923" s="407" t="s">
        <v>304</v>
      </c>
      <c r="C923" s="416" t="s">
        <v>2659</v>
      </c>
      <c r="D923" s="457"/>
      <c r="E923" s="408">
        <v>197860</v>
      </c>
      <c r="F923" s="408" t="s">
        <v>2659</v>
      </c>
      <c r="G923" s="408"/>
      <c r="H923" s="408"/>
      <c r="I923" s="408"/>
      <c r="J923" s="408" t="s">
        <v>2629</v>
      </c>
      <c r="K923" s="408" t="s">
        <v>2597</v>
      </c>
      <c r="L923" s="408" t="s">
        <v>2597</v>
      </c>
      <c r="M923" s="408"/>
      <c r="N923" s="408">
        <v>21.1420993804932</v>
      </c>
      <c r="O923" s="408">
        <v>92.338172912597699</v>
      </c>
      <c r="P923" s="408"/>
      <c r="Q923" s="408" t="s">
        <v>2602</v>
      </c>
      <c r="R923" s="409"/>
      <c r="S923" s="406"/>
      <c r="T923" s="410">
        <v>43580</v>
      </c>
      <c r="U923" s="411" t="s">
        <v>2648</v>
      </c>
      <c r="V923" s="412"/>
      <c r="W923" s="458"/>
      <c r="X923" s="454"/>
      <c r="Y923" s="454"/>
      <c r="Z923" s="454"/>
    </row>
    <row r="924" spans="1:26" ht="14.25" hidden="1" customHeight="1">
      <c r="A924" s="350" t="s">
        <v>2623</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2623</v>
      </c>
      <c r="B925" s="407" t="s">
        <v>304</v>
      </c>
      <c r="C925" s="416" t="s">
        <v>2657</v>
      </c>
      <c r="D925" s="457"/>
      <c r="E925" s="408">
        <v>197841</v>
      </c>
      <c r="F925" s="408" t="s">
        <v>2657</v>
      </c>
      <c r="G925" s="408"/>
      <c r="H925" s="408"/>
      <c r="I925" s="408"/>
      <c r="J925" s="340" t="s">
        <v>793</v>
      </c>
      <c r="K925" s="340" t="s">
        <v>793</v>
      </c>
      <c r="L925" s="340" t="s">
        <v>793</v>
      </c>
      <c r="M925" s="408"/>
      <c r="N925" s="408">
        <v>21.2080974578857</v>
      </c>
      <c r="O925" s="408">
        <v>92.308609008789105</v>
      </c>
      <c r="P925" s="408"/>
      <c r="Q925" s="408" t="s">
        <v>2602</v>
      </c>
      <c r="R925" s="409"/>
      <c r="S925" s="406"/>
      <c r="T925" s="410">
        <v>43580</v>
      </c>
      <c r="U925" s="411" t="s">
        <v>2648</v>
      </c>
      <c r="V925" s="412"/>
      <c r="W925" s="458"/>
      <c r="X925" s="454"/>
      <c r="Y925" s="454"/>
      <c r="Z925" s="454"/>
    </row>
    <row r="926" spans="1:26" ht="14.25" hidden="1" customHeight="1">
      <c r="A926" s="350" t="s">
        <v>2623</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2623</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2623</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2623</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2623</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2623</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2623</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2623</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2623</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2623</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2623</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2602</v>
      </c>
      <c r="R936" s="409"/>
      <c r="S936" s="406"/>
      <c r="T936" s="410">
        <v>43580</v>
      </c>
      <c r="U936" s="411" t="s">
        <v>2648</v>
      </c>
      <c r="V936" s="340" t="s">
        <v>562</v>
      </c>
      <c r="W936" s="353"/>
      <c r="X936" s="454"/>
      <c r="Y936" s="454"/>
      <c r="Z936" s="454"/>
    </row>
    <row r="937" spans="1:26" ht="14.25" hidden="1" customHeight="1">
      <c r="A937" s="350" t="s">
        <v>2623</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2623</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2623</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2623</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2623</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2623</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2623</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2623</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2623</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2623</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2623</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2623</v>
      </c>
      <c r="B948" s="486" t="s">
        <v>336</v>
      </c>
      <c r="C948" s="487" t="s">
        <v>2779</v>
      </c>
      <c r="D948" s="457"/>
      <c r="E948" s="340" t="s">
        <v>2780</v>
      </c>
      <c r="F948" s="340"/>
      <c r="G948" s="340"/>
      <c r="H948" s="340"/>
      <c r="I948" s="350"/>
      <c r="J948" s="340" t="s">
        <v>2629</v>
      </c>
      <c r="K948" s="340" t="s">
        <v>2597</v>
      </c>
      <c r="L948" s="340" t="s">
        <v>2597</v>
      </c>
      <c r="M948" s="340"/>
      <c r="N948" s="350"/>
      <c r="O948" s="350"/>
      <c r="P948" s="340"/>
      <c r="Q948" s="340"/>
      <c r="R948" s="466"/>
      <c r="S948" s="354"/>
      <c r="T948" s="343">
        <v>43591</v>
      </c>
      <c r="U948" s="466"/>
      <c r="V948" s="463" t="s">
        <v>2744</v>
      </c>
      <c r="W948" s="353"/>
      <c r="X948" s="454"/>
      <c r="Y948" s="454"/>
      <c r="Z948" s="454"/>
    </row>
    <row r="949" spans="1:26" ht="14.25" hidden="1" customHeight="1">
      <c r="A949" s="350" t="s">
        <v>2623</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2623</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2623</v>
      </c>
      <c r="B951" s="476" t="s">
        <v>336</v>
      </c>
      <c r="C951" s="475" t="s">
        <v>369</v>
      </c>
      <c r="D951" s="399" t="s">
        <v>1635</v>
      </c>
      <c r="E951" s="340">
        <v>220977</v>
      </c>
      <c r="F951" s="340" t="s">
        <v>2670</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2623</v>
      </c>
      <c r="B952" s="377" t="s">
        <v>336</v>
      </c>
      <c r="C952" s="378" t="s">
        <v>2778</v>
      </c>
      <c r="D952" s="352"/>
      <c r="E952" s="340">
        <v>220693</v>
      </c>
      <c r="F952" s="340"/>
      <c r="G952" s="340"/>
      <c r="H952" s="350"/>
      <c r="I952" s="350"/>
      <c r="J952" s="340" t="s">
        <v>2629</v>
      </c>
      <c r="K952" s="340" t="s">
        <v>2597</v>
      </c>
      <c r="L952" s="340" t="s">
        <v>2597</v>
      </c>
      <c r="M952" s="340"/>
      <c r="N952" s="350">
        <v>20.586620330810501</v>
      </c>
      <c r="O952" s="350">
        <v>92.689620971679702</v>
      </c>
      <c r="P952" s="340"/>
      <c r="Q952" s="340"/>
      <c r="R952" s="361"/>
      <c r="S952" s="354"/>
      <c r="T952" s="343">
        <v>43591</v>
      </c>
      <c r="U952" s="466"/>
      <c r="V952" s="340" t="s">
        <v>2743</v>
      </c>
      <c r="W952" s="353"/>
      <c r="X952" s="454"/>
      <c r="Y952" s="454"/>
      <c r="Z952" s="454"/>
    </row>
    <row r="953" spans="1:26" ht="14.25" hidden="1" customHeight="1">
      <c r="A953" s="350" t="s">
        <v>2623</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2623</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2623</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2623</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2623</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2623</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2623</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2623</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2623</v>
      </c>
      <c r="B961" s="486" t="s">
        <v>336</v>
      </c>
      <c r="C961" s="487" t="s">
        <v>2777</v>
      </c>
      <c r="D961" s="457"/>
      <c r="E961" s="340">
        <v>197581</v>
      </c>
      <c r="F961" s="340"/>
      <c r="G961" s="340"/>
      <c r="H961" s="350"/>
      <c r="I961" s="350"/>
      <c r="J961" s="340" t="s">
        <v>2629</v>
      </c>
      <c r="K961" s="340" t="s">
        <v>2597</v>
      </c>
      <c r="L961" s="340" t="s">
        <v>2597</v>
      </c>
      <c r="M961" s="340"/>
      <c r="N961" s="350">
        <v>20.631229400634801</v>
      </c>
      <c r="O961" s="350">
        <v>92.641532897949205</v>
      </c>
      <c r="P961" s="340"/>
      <c r="Q961" s="340"/>
      <c r="R961" s="466"/>
      <c r="S961" s="459"/>
      <c r="T961" s="343">
        <v>43591</v>
      </c>
      <c r="U961" s="466"/>
      <c r="V961" s="340" t="s">
        <v>2742</v>
      </c>
      <c r="W961" s="353"/>
      <c r="X961" s="454"/>
      <c r="Y961" s="454"/>
      <c r="Z961" s="454"/>
    </row>
    <row r="962" spans="1:26" ht="14.25" hidden="1" customHeight="1">
      <c r="A962" s="350" t="s">
        <v>2623</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2623</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2623</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2623</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2623</v>
      </c>
      <c r="B966" s="372" t="s">
        <v>336</v>
      </c>
      <c r="C966" s="371" t="s">
        <v>517</v>
      </c>
      <c r="D966" s="399" t="s">
        <v>1635</v>
      </c>
      <c r="E966" s="340">
        <v>197695</v>
      </c>
      <c r="F966" s="340" t="s">
        <v>2671</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2623</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2623</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2623</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2623</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2623</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2623</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2623</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2623</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2623</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2623</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2623</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2623</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2623</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2623</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2623</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2623</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2623</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2623</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2623</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2623</v>
      </c>
      <c r="B986" s="372" t="s">
        <v>336</v>
      </c>
      <c r="C986" s="371" t="s">
        <v>542</v>
      </c>
      <c r="D986" s="399" t="s">
        <v>1635</v>
      </c>
      <c r="E986" s="340">
        <v>197669</v>
      </c>
      <c r="F986" s="456"/>
      <c r="G986" s="340"/>
      <c r="H986" s="340"/>
      <c r="I986" s="340"/>
      <c r="J986" s="340" t="s">
        <v>2629</v>
      </c>
      <c r="K986" s="340" t="s">
        <v>2597</v>
      </c>
      <c r="L986" s="340" t="s">
        <v>2597</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2623</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2623</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2623</v>
      </c>
      <c r="B989" s="372" t="s">
        <v>336</v>
      </c>
      <c r="C989" s="371" t="s">
        <v>533</v>
      </c>
      <c r="D989" s="457" t="s">
        <v>1635</v>
      </c>
      <c r="E989" s="340">
        <v>197683</v>
      </c>
      <c r="F989" s="456"/>
      <c r="G989" s="340"/>
      <c r="H989" s="340"/>
      <c r="I989" s="340"/>
      <c r="J989" s="340" t="s">
        <v>2629</v>
      </c>
      <c r="K989" s="340" t="s">
        <v>2597</v>
      </c>
      <c r="L989" s="340" t="s">
        <v>2597</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2623</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2623</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2623</v>
      </c>
      <c r="B992" s="372" t="s">
        <v>336</v>
      </c>
      <c r="C992" s="371" t="s">
        <v>2672</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2623</v>
      </c>
      <c r="B993" s="372" t="s">
        <v>336</v>
      </c>
      <c r="C993" s="371" t="s">
        <v>2776</v>
      </c>
      <c r="D993" s="399" t="s">
        <v>1635</v>
      </c>
      <c r="E993" s="340">
        <v>197589</v>
      </c>
      <c r="F993" s="340" t="s">
        <v>903</v>
      </c>
      <c r="G993" s="340"/>
      <c r="H993" s="350"/>
      <c r="I993" s="350"/>
      <c r="J993" s="340" t="s">
        <v>2629</v>
      </c>
      <c r="K993" s="340" t="s">
        <v>2597</v>
      </c>
      <c r="L993" s="340" t="s">
        <v>2597</v>
      </c>
      <c r="M993" s="340"/>
      <c r="N993" s="350">
        <v>20.575780868530298</v>
      </c>
      <c r="O993" s="350">
        <v>92.670402526855497</v>
      </c>
      <c r="P993" s="340"/>
      <c r="Q993" s="340"/>
      <c r="R993" s="353"/>
      <c r="S993" s="459"/>
      <c r="T993" s="343"/>
      <c r="U993" s="342"/>
      <c r="V993" s="340" t="s">
        <v>2740</v>
      </c>
      <c r="W993" s="353"/>
      <c r="X993" s="454"/>
      <c r="Y993" s="454"/>
      <c r="Z993" s="454"/>
    </row>
    <row r="994" spans="1:26" ht="14.25" hidden="1" customHeight="1">
      <c r="A994" s="462" t="s">
        <v>2623</v>
      </c>
      <c r="B994" s="486" t="s">
        <v>336</v>
      </c>
      <c r="C994" s="487" t="s">
        <v>2746</v>
      </c>
      <c r="D994" s="457"/>
      <c r="E994" s="340"/>
      <c r="F994" s="454"/>
      <c r="G994" s="340"/>
      <c r="H994" s="350"/>
      <c r="I994" s="350"/>
      <c r="J994" s="340" t="s">
        <v>2629</v>
      </c>
      <c r="K994" s="340" t="s">
        <v>2597</v>
      </c>
      <c r="L994" s="340" t="s">
        <v>2597</v>
      </c>
      <c r="M994" s="340"/>
      <c r="N994" s="350"/>
      <c r="O994" s="350"/>
      <c r="P994" s="340"/>
      <c r="Q994" s="340"/>
      <c r="R994" s="466"/>
      <c r="S994" s="354"/>
      <c r="T994" s="343">
        <v>43591</v>
      </c>
      <c r="U994" s="466"/>
      <c r="V994" s="463" t="s">
        <v>2746</v>
      </c>
      <c r="W994" s="353"/>
      <c r="X994" s="454"/>
      <c r="Y994" s="454"/>
      <c r="Z994" s="454"/>
    </row>
    <row r="995" spans="1:26" ht="14.25" hidden="1" customHeight="1">
      <c r="A995" s="454" t="s">
        <v>2623</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2623</v>
      </c>
      <c r="B996" s="486" t="s">
        <v>336</v>
      </c>
      <c r="C996" s="487" t="s">
        <v>2747</v>
      </c>
      <c r="D996" s="457"/>
      <c r="E996" s="340"/>
      <c r="F996" s="340"/>
      <c r="G996" s="340"/>
      <c r="H996" s="340"/>
      <c r="I996" s="340"/>
      <c r="J996" s="350" t="s">
        <v>2629</v>
      </c>
      <c r="K996" s="350" t="s">
        <v>2597</v>
      </c>
      <c r="L996" s="350" t="s">
        <v>2597</v>
      </c>
      <c r="M996" s="340"/>
      <c r="N996" s="340"/>
      <c r="O996" s="340"/>
      <c r="P996" s="340"/>
      <c r="Q996" s="340"/>
      <c r="R996" s="466"/>
      <c r="S996" s="341"/>
      <c r="T996" s="343">
        <v>43591</v>
      </c>
      <c r="U996" s="466"/>
      <c r="V996" s="340"/>
      <c r="W996" s="353"/>
      <c r="X996" s="454"/>
      <c r="Y996" s="454"/>
      <c r="Z996" s="454"/>
    </row>
    <row r="997" spans="1:26" ht="14.25" hidden="1" customHeight="1">
      <c r="A997" s="350" t="s">
        <v>2623</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2623</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2623</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2623</v>
      </c>
      <c r="B1000" s="486" t="s">
        <v>336</v>
      </c>
      <c r="C1000" s="487" t="s">
        <v>2745</v>
      </c>
      <c r="D1000" s="457"/>
      <c r="E1000" s="340">
        <v>197677</v>
      </c>
      <c r="F1000" s="340"/>
      <c r="G1000" s="340"/>
      <c r="H1000" s="340"/>
      <c r="I1000" s="350"/>
      <c r="J1000" s="340" t="s">
        <v>2629</v>
      </c>
      <c r="K1000" s="340" t="s">
        <v>2597</v>
      </c>
      <c r="L1000" s="350" t="s">
        <v>2597</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2623</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2623</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2623</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2623</v>
      </c>
      <c r="B1004" s="486" t="s">
        <v>336</v>
      </c>
      <c r="C1004" s="487" t="s">
        <v>2741</v>
      </c>
      <c r="D1004" s="457"/>
      <c r="E1004" s="340"/>
      <c r="F1004" s="340"/>
      <c r="G1004" s="340"/>
      <c r="H1004" s="340"/>
      <c r="I1004" s="340"/>
      <c r="J1004" s="340" t="s">
        <v>2629</v>
      </c>
      <c r="K1004" s="340" t="s">
        <v>2597</v>
      </c>
      <c r="L1004" s="340" t="s">
        <v>2597</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2623</v>
      </c>
      <c r="B1005" s="372" t="s">
        <v>336</v>
      </c>
      <c r="C1005" s="371" t="s">
        <v>522</v>
      </c>
      <c r="D1005" s="399" t="s">
        <v>1635</v>
      </c>
      <c r="E1005" s="340">
        <v>197673</v>
      </c>
      <c r="F1005" s="340"/>
      <c r="G1005" s="340"/>
      <c r="H1005" s="340"/>
      <c r="I1005" s="340"/>
      <c r="J1005" s="340" t="s">
        <v>2629</v>
      </c>
      <c r="K1005" s="340" t="s">
        <v>2597</v>
      </c>
      <c r="L1005" s="340" t="s">
        <v>2597</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2623</v>
      </c>
      <c r="B1006" s="486" t="s">
        <v>336</v>
      </c>
      <c r="C1006" s="487" t="s">
        <v>526</v>
      </c>
      <c r="D1006" s="457"/>
      <c r="E1006" s="340">
        <v>197675</v>
      </c>
      <c r="F1006" s="350"/>
      <c r="G1006" s="340"/>
      <c r="H1006" s="340"/>
      <c r="I1006" s="350"/>
      <c r="J1006" s="350" t="s">
        <v>2629</v>
      </c>
      <c r="K1006" s="350" t="s">
        <v>2597</v>
      </c>
      <c r="L1006" s="350" t="s">
        <v>2597</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2623</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2796</v>
      </c>
      <c r="E1036" s="350" t="s">
        <v>1408</v>
      </c>
      <c r="F1036" s="350" t="s">
        <v>717</v>
      </c>
      <c r="G1036" s="350" t="s">
        <v>717</v>
      </c>
      <c r="H1036" s="350" t="s">
        <v>41</v>
      </c>
      <c r="I1036" s="350" t="s">
        <v>2639</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2616</v>
      </c>
      <c r="D1039" s="457"/>
      <c r="E1039" s="350"/>
      <c r="F1039" s="350"/>
      <c r="G1039" s="350"/>
      <c r="H1039" s="350"/>
      <c r="I1039" s="350"/>
      <c r="J1039" s="350" t="s">
        <v>2629</v>
      </c>
      <c r="K1039" s="350" t="s">
        <v>2597</v>
      </c>
      <c r="L1039" s="350" t="s">
        <v>2597</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2796</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2617</v>
      </c>
      <c r="D1041" s="457"/>
      <c r="E1041" s="350"/>
      <c r="F1041" s="350"/>
      <c r="G1041" s="350"/>
      <c r="H1041" s="350"/>
      <c r="I1041" s="350"/>
      <c r="J1041" s="350" t="s">
        <v>2629</v>
      </c>
      <c r="K1041" s="350" t="s">
        <v>2597</v>
      </c>
      <c r="L1041" s="350" t="s">
        <v>2597</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2618</v>
      </c>
      <c r="D1042" s="352"/>
      <c r="E1042" s="350"/>
      <c r="F1042" s="350"/>
      <c r="G1042" s="350"/>
      <c r="H1042" s="350"/>
      <c r="I1042" s="350"/>
      <c r="J1042" s="350" t="s">
        <v>2629</v>
      </c>
      <c r="K1042" s="350" t="s">
        <v>2597</v>
      </c>
      <c r="L1042" s="350" t="s">
        <v>2597</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2796</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2796</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2796</v>
      </c>
      <c r="E1047" s="350" t="s">
        <v>1414</v>
      </c>
      <c r="F1047" s="350" t="s">
        <v>1741</v>
      </c>
      <c r="G1047" s="350" t="s">
        <v>1742</v>
      </c>
      <c r="H1047" s="350" t="s">
        <v>41</v>
      </c>
      <c r="I1047" s="454" t="s">
        <v>2639</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2796</v>
      </c>
      <c r="E1048" s="350" t="s">
        <v>1415</v>
      </c>
      <c r="F1048" s="350" t="s">
        <v>1741</v>
      </c>
      <c r="G1048" s="350" t="s">
        <v>1640</v>
      </c>
      <c r="H1048" s="350" t="s">
        <v>41</v>
      </c>
      <c r="I1048" s="350" t="s">
        <v>2639</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2796</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2796</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2796</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2796</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2796</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2796</v>
      </c>
      <c r="E1056" s="350" t="s">
        <v>1411</v>
      </c>
      <c r="F1056" s="350"/>
      <c r="G1056" s="350"/>
      <c r="H1056" s="350" t="s">
        <v>41</v>
      </c>
      <c r="I1056" s="350" t="s">
        <v>2639</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2796</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2796</v>
      </c>
      <c r="E1059" s="350" t="s">
        <v>1423</v>
      </c>
      <c r="F1059" s="350" t="s">
        <v>1747</v>
      </c>
      <c r="G1059" s="350" t="s">
        <v>1748</v>
      </c>
      <c r="H1059" s="350" t="s">
        <v>41</v>
      </c>
      <c r="I1059" s="350" t="s">
        <v>2639</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2796</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2796</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2796</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2796</v>
      </c>
      <c r="E1063" s="350" t="s">
        <v>1410</v>
      </c>
      <c r="F1063" s="350" t="s">
        <v>1648</v>
      </c>
      <c r="G1063" s="350" t="s">
        <v>1649</v>
      </c>
      <c r="H1063" s="350" t="s">
        <v>41</v>
      </c>
      <c r="I1063" s="350" t="s">
        <v>2639</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2799</v>
      </c>
      <c r="D1064" s="352"/>
      <c r="E1064" s="350"/>
      <c r="F1064" s="350"/>
      <c r="G1064" s="350"/>
      <c r="H1064" s="350"/>
      <c r="I1064" s="350"/>
      <c r="J1064" s="350" t="s">
        <v>1443</v>
      </c>
      <c r="K1064" s="350" t="s">
        <v>43</v>
      </c>
      <c r="L1064" s="350" t="s">
        <v>771</v>
      </c>
      <c r="M1064" s="350" t="s">
        <v>44</v>
      </c>
      <c r="N1064" s="350"/>
      <c r="O1064" s="350"/>
      <c r="P1064" s="350" t="s">
        <v>756</v>
      </c>
      <c r="Q1064" s="350" t="s">
        <v>2800</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2801</v>
      </c>
      <c r="D1066" s="457"/>
      <c r="E1066" s="350"/>
      <c r="F1066" s="350"/>
      <c r="G1066" s="350"/>
      <c r="H1066" s="350"/>
      <c r="I1066" s="350"/>
      <c r="J1066" s="350" t="s">
        <v>1443</v>
      </c>
      <c r="K1066" s="350" t="s">
        <v>43</v>
      </c>
      <c r="L1066" s="350" t="s">
        <v>771</v>
      </c>
      <c r="M1066" s="350" t="s">
        <v>44</v>
      </c>
      <c r="N1066" s="350"/>
      <c r="O1066" s="350"/>
      <c r="P1066" s="350" t="s">
        <v>756</v>
      </c>
      <c r="Q1066" s="350" t="s">
        <v>2800</v>
      </c>
      <c r="R1066" s="466"/>
      <c r="S1066" s="459"/>
      <c r="T1066" s="373">
        <v>43633</v>
      </c>
      <c r="U1066" s="355"/>
      <c r="V1066" s="350"/>
      <c r="W1066" s="458"/>
      <c r="X1066" s="460"/>
      <c r="Y1066" s="454"/>
      <c r="Z1066" s="458"/>
    </row>
    <row r="1067" spans="1:26" ht="14.25" hidden="1" customHeight="1">
      <c r="A1067" s="417" t="s">
        <v>697</v>
      </c>
      <c r="B1067" s="377" t="s">
        <v>1236</v>
      </c>
      <c r="C1067" s="417" t="s">
        <v>2409</v>
      </c>
      <c r="D1067" s="352"/>
      <c r="E1067" s="350"/>
      <c r="F1067" s="350"/>
      <c r="G1067" s="350"/>
      <c r="H1067" s="350"/>
      <c r="I1067" s="350"/>
      <c r="J1067" s="350" t="s">
        <v>2629</v>
      </c>
      <c r="K1067" s="350" t="s">
        <v>2597</v>
      </c>
      <c r="L1067" s="350" t="s">
        <v>2597</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2642</v>
      </c>
      <c r="V1069" s="350"/>
      <c r="W1069" s="346" t="s">
        <v>2231</v>
      </c>
      <c r="X1069" s="460"/>
      <c r="Y1069" s="454"/>
      <c r="Z1069" s="458"/>
    </row>
    <row r="1070" spans="1:26" ht="14.25" hidden="1" customHeight="1">
      <c r="A1070" s="417" t="s">
        <v>697</v>
      </c>
      <c r="B1070" s="377" t="s">
        <v>704</v>
      </c>
      <c r="C1070" s="417" t="s">
        <v>730</v>
      </c>
      <c r="D1070" s="352" t="s">
        <v>2796</v>
      </c>
      <c r="E1070" s="350" t="s">
        <v>1406</v>
      </c>
      <c r="F1070" s="350" t="s">
        <v>1665</v>
      </c>
      <c r="G1070" s="350" t="s">
        <v>1685</v>
      </c>
      <c r="H1070" s="350" t="s">
        <v>41</v>
      </c>
      <c r="I1070" s="350" t="s">
        <v>2639</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2796</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2796</v>
      </c>
      <c r="E1076" s="350" t="s">
        <v>1603</v>
      </c>
      <c r="F1076" s="350" t="s">
        <v>1827</v>
      </c>
      <c r="G1076" s="350" t="s">
        <v>737</v>
      </c>
      <c r="H1076" s="350" t="s">
        <v>41</v>
      </c>
      <c r="I1076" s="350" t="s">
        <v>2639</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2796</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2796</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2796</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2796</v>
      </c>
      <c r="E1091" s="350" t="s">
        <v>1426</v>
      </c>
      <c r="F1091" s="454" t="s">
        <v>1658</v>
      </c>
      <c r="G1091" s="350" t="s">
        <v>1658</v>
      </c>
      <c r="H1091" s="350" t="s">
        <v>41</v>
      </c>
      <c r="I1091" s="350" t="s">
        <v>2639</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2796</v>
      </c>
      <c r="E1092" s="350" t="s">
        <v>1429</v>
      </c>
      <c r="F1092" s="350" t="s">
        <v>1658</v>
      </c>
      <c r="G1092" s="350" t="s">
        <v>1658</v>
      </c>
      <c r="H1092" s="350" t="s">
        <v>41</v>
      </c>
      <c r="I1092" s="350" t="s">
        <v>2639</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2796</v>
      </c>
      <c r="E1093" s="350" t="s">
        <v>1435</v>
      </c>
      <c r="F1093" s="350" t="s">
        <v>1658</v>
      </c>
      <c r="G1093" s="350" t="s">
        <v>1658</v>
      </c>
      <c r="H1093" s="350" t="s">
        <v>41</v>
      </c>
      <c r="I1093" s="350" t="s">
        <v>2639</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2796</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2796</v>
      </c>
      <c r="E1096" s="350" t="s">
        <v>1434</v>
      </c>
      <c r="F1096" s="350" t="s">
        <v>1749</v>
      </c>
      <c r="G1096" s="350" t="s">
        <v>1738</v>
      </c>
      <c r="H1096" s="350" t="s">
        <v>41</v>
      </c>
      <c r="I1096" s="454" t="s">
        <v>2639</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2796</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2796</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2796</v>
      </c>
      <c r="E1101" s="350" t="s">
        <v>1402</v>
      </c>
      <c r="F1101" s="350" t="s">
        <v>1662</v>
      </c>
      <c r="G1101" s="350" t="s">
        <v>1663</v>
      </c>
      <c r="H1101" s="350" t="s">
        <v>41</v>
      </c>
      <c r="I1101" s="350" t="s">
        <v>2639</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2796</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2629</v>
      </c>
      <c r="K1109" s="454" t="s">
        <v>2597</v>
      </c>
      <c r="L1109" s="454" t="s">
        <v>2597</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25" priority="4"/>
  </conditionalFormatting>
  <conditionalFormatting sqref="V940">
    <cfRule type="duplicateValues" dxfId="624" priority="3"/>
  </conditionalFormatting>
  <conditionalFormatting sqref="V985">
    <cfRule type="duplicateValues" dxfId="623" priority="2"/>
  </conditionalFormatting>
  <conditionalFormatting sqref="V1109">
    <cfRule type="duplicateValues" dxfId="622" priority="1"/>
  </conditionalFormatting>
  <conditionalFormatting sqref="C3:C1111">
    <cfRule type="duplicateValues" dxfId="621" priority="12140"/>
  </conditionalFormatting>
  <conditionalFormatting sqref="E3:E1111">
    <cfRule type="duplicateValues" dxfId="620"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zoomScale="83" zoomScaleNormal="85" zoomScaleSheetLayoutView="83" workbookViewId="0">
      <selection activeCell="L7" sqref="L7"/>
    </sheetView>
  </sheetViews>
  <sheetFormatPr defaultColWidth="6.69921875" defaultRowHeight="15.6"/>
  <cols>
    <col min="1" max="1" width="10.69921875" style="205" customWidth="1"/>
    <col min="2" max="2" width="39.296875" style="205" customWidth="1"/>
    <col min="3" max="3" width="19" style="205" customWidth="1"/>
    <col min="4" max="4" width="63.5" style="205" customWidth="1"/>
    <col min="5" max="5" width="40.796875" style="207" customWidth="1"/>
    <col min="6" max="6" width="25.296875" style="207" hidden="1" customWidth="1"/>
    <col min="7" max="16384" width="6.69921875" style="207"/>
  </cols>
  <sheetData>
    <row r="1" spans="1:6">
      <c r="B1" s="206" t="s">
        <v>3197</v>
      </c>
      <c r="C1" s="206"/>
      <c r="D1" s="206"/>
    </row>
    <row r="2" spans="1:6" ht="38.4">
      <c r="A2" s="208" t="s">
        <v>70</v>
      </c>
      <c r="B2" s="208" t="s">
        <v>3198</v>
      </c>
      <c r="C2" s="208" t="s">
        <v>71</v>
      </c>
      <c r="D2" s="208" t="s">
        <v>72</v>
      </c>
      <c r="E2" s="208" t="s">
        <v>1283</v>
      </c>
      <c r="F2" s="208" t="s">
        <v>73</v>
      </c>
    </row>
    <row r="3" spans="1:6" ht="178.95" customHeight="1">
      <c r="A3" s="209" t="s">
        <v>1294</v>
      </c>
      <c r="B3" s="209" t="s">
        <v>2959</v>
      </c>
      <c r="C3" s="209" t="s">
        <v>3103</v>
      </c>
      <c r="D3" s="210" t="s">
        <v>3101</v>
      </c>
      <c r="E3" s="209" t="s">
        <v>3102</v>
      </c>
      <c r="F3" s="209" t="s">
        <v>2330</v>
      </c>
    </row>
    <row r="4" spans="1:6" ht="96">
      <c r="A4" s="211" t="s">
        <v>1295</v>
      </c>
      <c r="B4" s="211" t="s">
        <v>2960</v>
      </c>
      <c r="C4" s="211" t="s">
        <v>3104</v>
      </c>
      <c r="D4" s="211" t="s">
        <v>2982</v>
      </c>
      <c r="E4" s="211" t="s">
        <v>2865</v>
      </c>
      <c r="F4" s="211" t="s">
        <v>2687</v>
      </c>
    </row>
    <row r="5" spans="1:6" ht="242.25" customHeight="1">
      <c r="A5" s="212" t="s">
        <v>1611</v>
      </c>
      <c r="B5" s="212" t="s">
        <v>2961</v>
      </c>
      <c r="C5" s="212" t="s">
        <v>3105</v>
      </c>
      <c r="D5" s="212" t="s">
        <v>2866</v>
      </c>
      <c r="E5" s="212"/>
      <c r="F5" s="212"/>
    </row>
    <row r="6" spans="1:6" ht="153.6">
      <c r="A6" s="692" t="s">
        <v>2962</v>
      </c>
      <c r="B6" s="692" t="s">
        <v>2963</v>
      </c>
      <c r="C6" s="692" t="s">
        <v>3107</v>
      </c>
      <c r="D6" s="692" t="s">
        <v>3106</v>
      </c>
      <c r="E6" s="692"/>
      <c r="F6" s="692" t="s">
        <v>2964</v>
      </c>
    </row>
    <row r="7" spans="1:6" ht="99" customHeight="1">
      <c r="A7" s="693" t="s">
        <v>2965</v>
      </c>
      <c r="B7" s="693" t="s">
        <v>3200</v>
      </c>
      <c r="C7" s="693" t="s">
        <v>3201</v>
      </c>
      <c r="D7" s="693" t="s">
        <v>3202</v>
      </c>
      <c r="E7" s="693"/>
      <c r="F7" s="693" t="s">
        <v>2964</v>
      </c>
    </row>
    <row r="8" spans="1:6" ht="96">
      <c r="A8" s="693" t="s">
        <v>3199</v>
      </c>
      <c r="B8" s="693" t="s">
        <v>3149</v>
      </c>
      <c r="C8" s="693" t="s">
        <v>3203</v>
      </c>
      <c r="D8" s="693" t="s">
        <v>3204</v>
      </c>
      <c r="E8" s="693"/>
      <c r="F8" s="693" t="s">
        <v>2964</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45C5-7751-407E-8BBB-A9BBCE5BFDAC}">
  <sheetPr>
    <tabColor rgb="FF92D050"/>
  </sheetPr>
  <dimension ref="A1:F64"/>
  <sheetViews>
    <sheetView zoomScaleNormal="100" zoomScaleSheetLayoutView="98" workbookViewId="0">
      <pane xSplit="5" ySplit="2" topLeftCell="F27" activePane="bottomRight" state="frozen"/>
      <selection pane="topRight" activeCell="F1" sqref="F1"/>
      <selection pane="bottomLeft" activeCell="A3" sqref="A3"/>
      <selection pane="bottomRight" activeCell="C17" sqref="C17"/>
    </sheetView>
  </sheetViews>
  <sheetFormatPr defaultColWidth="8" defaultRowHeight="45" customHeight="1"/>
  <cols>
    <col min="1" max="1" width="7.59765625" style="708" bestFit="1" customWidth="1"/>
    <col min="2" max="2" width="7.59765625" style="268" bestFit="1" customWidth="1"/>
    <col min="3" max="3" width="42.69921875" style="289" bestFit="1" customWidth="1"/>
    <col min="4" max="4" width="11.59765625" style="289" customWidth="1"/>
    <col min="5" max="5" width="11.69921875" style="289" customWidth="1"/>
    <col min="6" max="6" width="61.5" style="289" bestFit="1" customWidth="1"/>
    <col min="7" max="16372" width="8" style="267"/>
    <col min="16373" max="16384" width="21.19921875" style="267" customWidth="1"/>
  </cols>
  <sheetData>
    <row r="1" spans="1:6" ht="45" customHeight="1">
      <c r="A1" s="694"/>
      <c r="B1" s="1017"/>
      <c r="C1" s="1017"/>
      <c r="D1" s="1017"/>
      <c r="E1" s="1017"/>
      <c r="F1" s="1017"/>
    </row>
    <row r="2" spans="1:6" s="271" customFormat="1" ht="45" customHeight="1">
      <c r="A2" s="695"/>
      <c r="B2" s="269" t="s">
        <v>46</v>
      </c>
      <c r="C2" s="270" t="s">
        <v>3138</v>
      </c>
      <c r="D2" s="270" t="s">
        <v>2276</v>
      </c>
      <c r="E2" s="270" t="s">
        <v>2802</v>
      </c>
      <c r="F2" s="270" t="s">
        <v>47</v>
      </c>
    </row>
    <row r="3" spans="1:6" ht="45" customHeight="1">
      <c r="A3" s="1018" t="s">
        <v>2966</v>
      </c>
      <c r="B3" s="696" t="s">
        <v>0</v>
      </c>
      <c r="C3" s="273" t="s">
        <v>2279</v>
      </c>
      <c r="D3" s="273" t="s">
        <v>16</v>
      </c>
      <c r="E3" s="273"/>
      <c r="F3" s="697"/>
    </row>
    <row r="4" spans="1:6" ht="62.55" customHeight="1">
      <c r="A4" s="1019"/>
      <c r="B4" s="696" t="s">
        <v>1</v>
      </c>
      <c r="C4" s="273" t="s">
        <v>2281</v>
      </c>
      <c r="D4" s="273" t="s">
        <v>16</v>
      </c>
      <c r="E4" s="273"/>
      <c r="F4" s="697" t="s">
        <v>2282</v>
      </c>
    </row>
    <row r="5" spans="1:6" ht="45" customHeight="1">
      <c r="A5" s="1019"/>
      <c r="B5" s="696" t="s">
        <v>2</v>
      </c>
      <c r="C5" s="273" t="s">
        <v>2283</v>
      </c>
      <c r="D5" s="273" t="s">
        <v>16</v>
      </c>
      <c r="E5" s="273"/>
      <c r="F5" s="697" t="s">
        <v>2284</v>
      </c>
    </row>
    <row r="6" spans="1:6" ht="45" customHeight="1">
      <c r="A6" s="1019"/>
      <c r="B6" s="696" t="s">
        <v>3</v>
      </c>
      <c r="C6" s="273" t="s">
        <v>2285</v>
      </c>
      <c r="D6" s="273" t="s">
        <v>18</v>
      </c>
      <c r="E6" s="273"/>
      <c r="F6" s="697" t="s">
        <v>2416</v>
      </c>
    </row>
    <row r="7" spans="1:6" ht="45" customHeight="1">
      <c r="A7" s="1019"/>
      <c r="B7" s="696" t="s">
        <v>4</v>
      </c>
      <c r="C7" s="273" t="s">
        <v>21</v>
      </c>
      <c r="D7" s="273" t="s">
        <v>16</v>
      </c>
      <c r="E7" s="273"/>
      <c r="F7" s="697" t="s">
        <v>2286</v>
      </c>
    </row>
    <row r="8" spans="1:6" ht="45" customHeight="1">
      <c r="A8" s="1019"/>
      <c r="B8" s="696" t="s">
        <v>1149</v>
      </c>
      <c r="C8" s="273" t="s">
        <v>22</v>
      </c>
      <c r="D8" s="273" t="s">
        <v>16</v>
      </c>
      <c r="E8" s="273"/>
      <c r="F8" s="697" t="s">
        <v>2286</v>
      </c>
    </row>
    <row r="9" spans="1:6" ht="45" customHeight="1">
      <c r="A9" s="1019"/>
      <c r="B9" s="696" t="s">
        <v>5</v>
      </c>
      <c r="C9" s="273" t="s">
        <v>3083</v>
      </c>
      <c r="D9" s="273" t="s">
        <v>2410</v>
      </c>
      <c r="E9" s="273"/>
      <c r="F9" s="697" t="s">
        <v>3084</v>
      </c>
    </row>
    <row r="10" spans="1:6" ht="45" customHeight="1">
      <c r="A10" s="1019"/>
      <c r="B10" s="696" t="s">
        <v>6</v>
      </c>
      <c r="C10" s="273" t="s">
        <v>2288</v>
      </c>
      <c r="D10" s="273" t="s">
        <v>16</v>
      </c>
      <c r="E10" s="273"/>
      <c r="F10" s="697" t="s">
        <v>2289</v>
      </c>
    </row>
    <row r="11" spans="1:6" ht="75" customHeight="1">
      <c r="A11" s="1019"/>
      <c r="B11" s="696" t="s">
        <v>50</v>
      </c>
      <c r="C11" s="273" t="s">
        <v>24</v>
      </c>
      <c r="D11" s="273" t="s">
        <v>17</v>
      </c>
      <c r="E11" s="273"/>
      <c r="F11" s="697" t="s">
        <v>2331</v>
      </c>
    </row>
    <row r="12" spans="1:6" ht="85.2" customHeight="1">
      <c r="A12" s="1019"/>
      <c r="B12" s="696" t="s">
        <v>51</v>
      </c>
      <c r="C12" s="273" t="s">
        <v>1871</v>
      </c>
      <c r="D12" s="273" t="s">
        <v>17</v>
      </c>
      <c r="E12" s="273"/>
      <c r="F12" s="697" t="s">
        <v>2331</v>
      </c>
    </row>
    <row r="13" spans="1:6" ht="45" customHeight="1">
      <c r="A13" s="1019"/>
      <c r="B13" s="696" t="s">
        <v>53</v>
      </c>
      <c r="C13" s="273" t="s">
        <v>2290</v>
      </c>
      <c r="D13" s="273" t="s">
        <v>19</v>
      </c>
      <c r="E13" s="273"/>
      <c r="F13" s="697" t="s">
        <v>2291</v>
      </c>
    </row>
    <row r="14" spans="1:6" ht="45" customHeight="1">
      <c r="A14" s="1019"/>
      <c r="B14" s="696" t="s">
        <v>55</v>
      </c>
      <c r="C14" s="273" t="s">
        <v>2292</v>
      </c>
      <c r="D14" s="273" t="s">
        <v>19</v>
      </c>
      <c r="E14" s="273"/>
      <c r="F14" s="697" t="s">
        <v>2293</v>
      </c>
    </row>
    <row r="15" spans="1:6" ht="45" customHeight="1">
      <c r="A15" s="1019"/>
      <c r="B15" s="696" t="s">
        <v>57</v>
      </c>
      <c r="C15" s="273" t="s">
        <v>2431</v>
      </c>
      <c r="D15" s="273" t="s">
        <v>17</v>
      </c>
      <c r="E15" s="273"/>
      <c r="F15" s="697"/>
    </row>
    <row r="16" spans="1:6" ht="82.8">
      <c r="A16" s="1020" t="s">
        <v>1972</v>
      </c>
      <c r="B16" s="698" t="s">
        <v>112</v>
      </c>
      <c r="C16" s="512" t="s">
        <v>3052</v>
      </c>
      <c r="D16" s="187" t="s">
        <v>17</v>
      </c>
      <c r="E16" s="187" t="s">
        <v>2803</v>
      </c>
      <c r="F16" s="254" t="s">
        <v>3085</v>
      </c>
    </row>
    <row r="17" spans="1:6" ht="82.8">
      <c r="A17" s="1021"/>
      <c r="B17" s="698" t="s">
        <v>113</v>
      </c>
      <c r="C17" s="512" t="s">
        <v>3053</v>
      </c>
      <c r="D17" s="187" t="s">
        <v>17</v>
      </c>
      <c r="E17" s="187" t="s">
        <v>2803</v>
      </c>
      <c r="F17" s="254" t="s">
        <v>3085</v>
      </c>
    </row>
    <row r="18" spans="1:6" ht="82.8">
      <c r="A18" s="1021"/>
      <c r="B18" s="698" t="s">
        <v>59</v>
      </c>
      <c r="C18" s="512" t="s">
        <v>3056</v>
      </c>
      <c r="D18" s="187" t="s">
        <v>17</v>
      </c>
      <c r="E18" s="187" t="s">
        <v>2803</v>
      </c>
      <c r="F18" s="254" t="s">
        <v>3085</v>
      </c>
    </row>
    <row r="19" spans="1:6" ht="82.8">
      <c r="A19" s="1021"/>
      <c r="B19" s="698" t="s">
        <v>58</v>
      </c>
      <c r="C19" s="512" t="s">
        <v>3057</v>
      </c>
      <c r="D19" s="187" t="s">
        <v>17</v>
      </c>
      <c r="E19" s="187" t="s">
        <v>2803</v>
      </c>
      <c r="F19" s="254" t="s">
        <v>3085</v>
      </c>
    </row>
    <row r="20" spans="1:6" ht="45" customHeight="1">
      <c r="A20" s="1021"/>
      <c r="B20" s="698" t="s">
        <v>60</v>
      </c>
      <c r="C20" s="512" t="s">
        <v>3058</v>
      </c>
      <c r="D20" s="187" t="s">
        <v>17</v>
      </c>
      <c r="E20" s="187" t="s">
        <v>2804</v>
      </c>
      <c r="F20" s="254" t="s">
        <v>3086</v>
      </c>
    </row>
    <row r="21" spans="1:6" ht="55.2">
      <c r="A21" s="1021"/>
      <c r="B21" s="698" t="s">
        <v>1150</v>
      </c>
      <c r="C21" s="187" t="s">
        <v>3059</v>
      </c>
      <c r="D21" s="187" t="s">
        <v>17</v>
      </c>
      <c r="E21" s="187" t="s">
        <v>2805</v>
      </c>
      <c r="F21" s="254" t="s">
        <v>3087</v>
      </c>
    </row>
    <row r="22" spans="1:6" ht="79.5" customHeight="1">
      <c r="A22" s="1021"/>
      <c r="B22" s="698" t="s">
        <v>62</v>
      </c>
      <c r="C22" s="187" t="s">
        <v>2842</v>
      </c>
      <c r="D22" s="187" t="s">
        <v>17</v>
      </c>
      <c r="E22" s="187" t="s">
        <v>2803</v>
      </c>
      <c r="F22" s="254" t="s">
        <v>2873</v>
      </c>
    </row>
    <row r="23" spans="1:6" ht="27.6">
      <c r="A23" s="1021"/>
      <c r="B23" s="698" t="s">
        <v>63</v>
      </c>
      <c r="C23" s="187" t="s">
        <v>3060</v>
      </c>
      <c r="D23" s="187" t="s">
        <v>54</v>
      </c>
      <c r="E23" s="187" t="s">
        <v>2803</v>
      </c>
      <c r="F23" s="254" t="s">
        <v>3088</v>
      </c>
    </row>
    <row r="24" spans="1:6" ht="41.4">
      <c r="A24" s="1021"/>
      <c r="B24" s="698" t="s">
        <v>64</v>
      </c>
      <c r="C24" s="187" t="s">
        <v>2843</v>
      </c>
      <c r="D24" s="187" t="s">
        <v>17</v>
      </c>
      <c r="E24" s="187" t="s">
        <v>2803</v>
      </c>
      <c r="F24" s="254" t="s">
        <v>2874</v>
      </c>
    </row>
    <row r="25" spans="1:6" ht="27.6">
      <c r="A25" s="1021"/>
      <c r="B25" s="698" t="s">
        <v>65</v>
      </c>
      <c r="C25" s="187" t="s">
        <v>3062</v>
      </c>
      <c r="D25" s="187" t="s">
        <v>54</v>
      </c>
      <c r="E25" s="187" t="s">
        <v>2803</v>
      </c>
      <c r="F25" s="254" t="s">
        <v>3089</v>
      </c>
    </row>
    <row r="26" spans="1:6" ht="27.6">
      <c r="A26" s="1021"/>
      <c r="B26" s="698" t="s">
        <v>1151</v>
      </c>
      <c r="C26" s="187" t="s">
        <v>2808</v>
      </c>
      <c r="D26" s="187" t="s">
        <v>17</v>
      </c>
      <c r="E26" s="187" t="s">
        <v>2806</v>
      </c>
      <c r="F26" s="254" t="s">
        <v>2875</v>
      </c>
    </row>
    <row r="27" spans="1:6" ht="110.4">
      <c r="A27" s="1021"/>
      <c r="B27" s="698" t="s">
        <v>66</v>
      </c>
      <c r="C27" s="187" t="s">
        <v>3064</v>
      </c>
      <c r="D27" s="187" t="s">
        <v>17</v>
      </c>
      <c r="E27" s="187" t="s">
        <v>2803</v>
      </c>
      <c r="F27" s="254" t="s">
        <v>3090</v>
      </c>
    </row>
    <row r="28" spans="1:6" ht="110.4">
      <c r="A28" s="1021"/>
      <c r="B28" s="698" t="s">
        <v>67</v>
      </c>
      <c r="C28" s="187" t="s">
        <v>3065</v>
      </c>
      <c r="D28" s="187" t="s">
        <v>17</v>
      </c>
      <c r="E28" s="187" t="s">
        <v>2803</v>
      </c>
      <c r="F28" s="254" t="s">
        <v>3091</v>
      </c>
    </row>
    <row r="29" spans="1:6" ht="45" customHeight="1">
      <c r="A29" s="1022"/>
      <c r="B29" s="698" t="s">
        <v>68</v>
      </c>
      <c r="C29" s="253" t="s">
        <v>2813</v>
      </c>
      <c r="D29" s="187" t="s">
        <v>18</v>
      </c>
      <c r="E29" s="187"/>
      <c r="F29" s="254"/>
    </row>
    <row r="30" spans="1:6" ht="82.8">
      <c r="A30" s="1023" t="s">
        <v>1973</v>
      </c>
      <c r="B30" s="699" t="s">
        <v>69</v>
      </c>
      <c r="C30" s="199" t="s">
        <v>2844</v>
      </c>
      <c r="D30" s="199" t="s">
        <v>17</v>
      </c>
      <c r="E30" s="199" t="s">
        <v>2803</v>
      </c>
      <c r="F30" s="279" t="s">
        <v>2877</v>
      </c>
    </row>
    <row r="31" spans="1:6" ht="27.6">
      <c r="A31" s="1024"/>
      <c r="B31" s="699" t="s">
        <v>1284</v>
      </c>
      <c r="C31" s="199" t="s">
        <v>2845</v>
      </c>
      <c r="D31" s="199" t="s">
        <v>17</v>
      </c>
      <c r="E31" s="199" t="s">
        <v>2803</v>
      </c>
      <c r="F31" s="279" t="s">
        <v>2876</v>
      </c>
    </row>
    <row r="32" spans="1:6" ht="41.4">
      <c r="A32" s="1024"/>
      <c r="B32" s="699" t="s">
        <v>1285</v>
      </c>
      <c r="C32" s="199" t="s">
        <v>2846</v>
      </c>
      <c r="D32" s="199" t="s">
        <v>17</v>
      </c>
      <c r="E32" s="199" t="s">
        <v>2803</v>
      </c>
      <c r="F32" s="279" t="s">
        <v>2878</v>
      </c>
    </row>
    <row r="33" spans="1:6" ht="14.4">
      <c r="A33" s="1024"/>
      <c r="B33" s="699" t="s">
        <v>1286</v>
      </c>
      <c r="C33" s="199" t="s">
        <v>3068</v>
      </c>
      <c r="D33" s="199" t="s">
        <v>17</v>
      </c>
      <c r="E33" s="199" t="s">
        <v>2803</v>
      </c>
      <c r="F33" s="279" t="s">
        <v>3092</v>
      </c>
    </row>
    <row r="34" spans="1:6" ht="33" customHeight="1">
      <c r="A34" s="1024"/>
      <c r="B34" s="699" t="s">
        <v>1287</v>
      </c>
      <c r="C34" s="199" t="s">
        <v>2847</v>
      </c>
      <c r="D34" s="199" t="s">
        <v>54</v>
      </c>
      <c r="E34" s="199" t="s">
        <v>2803</v>
      </c>
      <c r="F34" s="279" t="s">
        <v>2879</v>
      </c>
    </row>
    <row r="35" spans="1:6" ht="36" customHeight="1">
      <c r="A35" s="1024"/>
      <c r="B35" s="699" t="s">
        <v>1288</v>
      </c>
      <c r="C35" s="199" t="s">
        <v>2848</v>
      </c>
      <c r="D35" s="199" t="s">
        <v>54</v>
      </c>
      <c r="E35" s="199" t="s">
        <v>2803</v>
      </c>
      <c r="F35" s="279" t="s">
        <v>2880</v>
      </c>
    </row>
    <row r="36" spans="1:6" ht="33" customHeight="1">
      <c r="A36" s="1024"/>
      <c r="B36" s="699" t="s">
        <v>1289</v>
      </c>
      <c r="C36" s="199" t="s">
        <v>3093</v>
      </c>
      <c r="D36" s="199" t="s">
        <v>54</v>
      </c>
      <c r="E36" s="199"/>
      <c r="F36" s="279" t="s">
        <v>3094</v>
      </c>
    </row>
    <row r="37" spans="1:6" ht="41.4">
      <c r="A37" s="1024"/>
      <c r="B37" s="699" t="s">
        <v>1290</v>
      </c>
      <c r="C37" s="817" t="s">
        <v>3095</v>
      </c>
      <c r="D37" s="280" t="s">
        <v>17</v>
      </c>
      <c r="E37" s="199" t="s">
        <v>2803</v>
      </c>
      <c r="F37" s="279" t="s">
        <v>3096</v>
      </c>
    </row>
    <row r="38" spans="1:6" ht="55.2">
      <c r="A38" s="1024"/>
      <c r="B38" s="699" t="s">
        <v>1291</v>
      </c>
      <c r="C38" s="199" t="s">
        <v>2850</v>
      </c>
      <c r="D38" s="199" t="s">
        <v>17</v>
      </c>
      <c r="E38" s="199" t="s">
        <v>2803</v>
      </c>
      <c r="F38" s="279" t="s">
        <v>2881</v>
      </c>
    </row>
    <row r="39" spans="1:6" ht="55.95" customHeight="1">
      <c r="A39" s="1024"/>
      <c r="B39" s="699" t="s">
        <v>1292</v>
      </c>
      <c r="C39" s="817" t="s">
        <v>2967</v>
      </c>
      <c r="D39" s="199" t="s">
        <v>17</v>
      </c>
      <c r="E39" s="199" t="s">
        <v>2803</v>
      </c>
      <c r="F39" s="818" t="s">
        <v>3097</v>
      </c>
    </row>
    <row r="40" spans="1:6" ht="71.55" customHeight="1">
      <c r="A40" s="1024"/>
      <c r="B40" s="699" t="s">
        <v>1293</v>
      </c>
      <c r="C40" s="282" t="s">
        <v>2968</v>
      </c>
      <c r="D40" s="199" t="s">
        <v>17</v>
      </c>
      <c r="E40" s="199" t="s">
        <v>2803</v>
      </c>
      <c r="F40" s="279" t="s">
        <v>3098</v>
      </c>
    </row>
    <row r="41" spans="1:6" ht="41.4">
      <c r="A41" s="1024"/>
      <c r="B41" s="699" t="s">
        <v>1959</v>
      </c>
      <c r="C41" s="199" t="s">
        <v>3099</v>
      </c>
      <c r="D41" s="282" t="s">
        <v>2294</v>
      </c>
      <c r="E41" s="199" t="s">
        <v>2803</v>
      </c>
      <c r="F41" s="279" t="s">
        <v>2882</v>
      </c>
    </row>
    <row r="42" spans="1:6" ht="27.6">
      <c r="A42" s="1025"/>
      <c r="B42" s="699" t="s">
        <v>1960</v>
      </c>
      <c r="C42" s="282" t="s">
        <v>2814</v>
      </c>
      <c r="D42" s="282" t="s">
        <v>18</v>
      </c>
      <c r="E42" s="282"/>
      <c r="F42" s="279"/>
    </row>
    <row r="43" spans="1:6" ht="45" customHeight="1">
      <c r="A43" s="1026" t="s">
        <v>1974</v>
      </c>
      <c r="B43" s="700" t="s">
        <v>2198</v>
      </c>
      <c r="C43" s="284" t="s">
        <v>2852</v>
      </c>
      <c r="D43" s="284" t="s">
        <v>17</v>
      </c>
      <c r="E43" s="256" t="s">
        <v>2803</v>
      </c>
      <c r="F43" s="286" t="s">
        <v>2883</v>
      </c>
    </row>
    <row r="44" spans="1:6" ht="45" customHeight="1">
      <c r="A44" s="1027"/>
      <c r="B44" s="700" t="s">
        <v>2302</v>
      </c>
      <c r="C44" s="284" t="s">
        <v>2853</v>
      </c>
      <c r="D44" s="284" t="s">
        <v>17</v>
      </c>
      <c r="E44" s="256" t="s">
        <v>2803</v>
      </c>
      <c r="F44" s="286" t="s">
        <v>2884</v>
      </c>
    </row>
    <row r="45" spans="1:6" ht="45" customHeight="1">
      <c r="A45" s="1027"/>
      <c r="B45" s="700" t="s">
        <v>2303</v>
      </c>
      <c r="C45" s="284" t="s">
        <v>2854</v>
      </c>
      <c r="D45" s="284" t="s">
        <v>17</v>
      </c>
      <c r="E45" s="256" t="s">
        <v>2803</v>
      </c>
      <c r="F45" s="286" t="s">
        <v>2885</v>
      </c>
    </row>
    <row r="46" spans="1:6" ht="45" customHeight="1">
      <c r="A46" s="1027"/>
      <c r="B46" s="700" t="s">
        <v>2304</v>
      </c>
      <c r="C46" s="284" t="s">
        <v>2855</v>
      </c>
      <c r="D46" s="284" t="s">
        <v>17</v>
      </c>
      <c r="E46" s="256" t="s">
        <v>2803</v>
      </c>
      <c r="F46" s="286" t="s">
        <v>2886</v>
      </c>
    </row>
    <row r="47" spans="1:6" ht="45" customHeight="1">
      <c r="A47" s="1027"/>
      <c r="B47" s="700" t="s">
        <v>2305</v>
      </c>
      <c r="C47" s="284" t="s">
        <v>2856</v>
      </c>
      <c r="D47" s="284" t="s">
        <v>17</v>
      </c>
      <c r="E47" s="256" t="s">
        <v>2803</v>
      </c>
      <c r="F47" s="286" t="s">
        <v>2887</v>
      </c>
    </row>
    <row r="48" spans="1:6" ht="45" customHeight="1">
      <c r="A48" s="1027"/>
      <c r="B48" s="700" t="s">
        <v>2307</v>
      </c>
      <c r="C48" s="284" t="s">
        <v>2857</v>
      </c>
      <c r="D48" s="285" t="s">
        <v>17</v>
      </c>
      <c r="E48" s="256" t="s">
        <v>2803</v>
      </c>
      <c r="F48" s="286" t="s">
        <v>2888</v>
      </c>
    </row>
    <row r="49" spans="1:6" ht="27.6">
      <c r="A49" s="1027"/>
      <c r="B49" s="700" t="s">
        <v>2308</v>
      </c>
      <c r="C49" s="513" t="s">
        <v>2858</v>
      </c>
      <c r="D49" s="285" t="s">
        <v>54</v>
      </c>
      <c r="E49" s="256" t="s">
        <v>2803</v>
      </c>
      <c r="F49" s="286" t="s">
        <v>2889</v>
      </c>
    </row>
    <row r="50" spans="1:6" ht="45" customHeight="1">
      <c r="A50" s="1027"/>
      <c r="B50" s="700" t="s">
        <v>2309</v>
      </c>
      <c r="C50" s="284" t="s">
        <v>3072</v>
      </c>
      <c r="D50" s="285" t="s">
        <v>54</v>
      </c>
      <c r="E50" s="256" t="s">
        <v>2806</v>
      </c>
      <c r="F50" s="286" t="s">
        <v>2890</v>
      </c>
    </row>
    <row r="51" spans="1:6" ht="45" customHeight="1">
      <c r="A51" s="1027"/>
      <c r="B51" s="700" t="s">
        <v>2310</v>
      </c>
      <c r="C51" s="819" t="s">
        <v>3073</v>
      </c>
      <c r="D51" s="285" t="s">
        <v>17</v>
      </c>
      <c r="E51" s="256" t="s">
        <v>2803</v>
      </c>
      <c r="F51" s="286" t="s">
        <v>2859</v>
      </c>
    </row>
    <row r="52" spans="1:6" ht="45" customHeight="1">
      <c r="A52" s="1028"/>
      <c r="B52" s="700" t="s">
        <v>2311</v>
      </c>
      <c r="C52" s="287" t="s">
        <v>2815</v>
      </c>
      <c r="D52" s="287" t="s">
        <v>18</v>
      </c>
      <c r="E52" s="287"/>
      <c r="F52" s="288"/>
    </row>
    <row r="53" spans="1:6" ht="45" customHeight="1">
      <c r="A53" s="1029" t="s">
        <v>2928</v>
      </c>
      <c r="B53" s="701" t="s">
        <v>2312</v>
      </c>
      <c r="C53" s="515" t="s">
        <v>2860</v>
      </c>
      <c r="D53" s="515" t="s">
        <v>54</v>
      </c>
      <c r="E53" s="515" t="s">
        <v>2803</v>
      </c>
      <c r="F53" s="514" t="s">
        <v>2810</v>
      </c>
    </row>
    <row r="54" spans="1:6" ht="45" customHeight="1">
      <c r="A54" s="1030"/>
      <c r="B54" s="701" t="s">
        <v>2313</v>
      </c>
      <c r="C54" s="515" t="s">
        <v>2861</v>
      </c>
      <c r="D54" s="515" t="s">
        <v>54</v>
      </c>
      <c r="E54" s="515" t="s">
        <v>2803</v>
      </c>
      <c r="F54" s="514" t="s">
        <v>2810</v>
      </c>
    </row>
    <row r="55" spans="1:6" ht="45" customHeight="1">
      <c r="A55" s="1030"/>
      <c r="B55" s="701" t="s">
        <v>2314</v>
      </c>
      <c r="C55" s="515" t="s">
        <v>3100</v>
      </c>
      <c r="D55" s="515" t="s">
        <v>54</v>
      </c>
      <c r="E55" s="515" t="s">
        <v>2803</v>
      </c>
      <c r="F55" s="514" t="s">
        <v>2810</v>
      </c>
    </row>
    <row r="56" spans="1:6" ht="45" customHeight="1">
      <c r="A56" s="1031"/>
      <c r="B56" s="701" t="s">
        <v>2315</v>
      </c>
      <c r="C56" s="515" t="s">
        <v>2809</v>
      </c>
      <c r="D56" s="515" t="s">
        <v>54</v>
      </c>
      <c r="E56" s="515" t="s">
        <v>2803</v>
      </c>
      <c r="F56" s="514" t="s">
        <v>2810</v>
      </c>
    </row>
    <row r="57" spans="1:6" ht="67.5" customHeight="1">
      <c r="A57" s="702" t="s">
        <v>2947</v>
      </c>
      <c r="B57" s="703" t="s">
        <v>2316</v>
      </c>
      <c r="C57" s="704" t="s">
        <v>2811</v>
      </c>
      <c r="D57" s="704" t="s">
        <v>54</v>
      </c>
      <c r="E57" s="704" t="s">
        <v>2803</v>
      </c>
      <c r="F57" s="705" t="s">
        <v>2812</v>
      </c>
    </row>
    <row r="58" spans="1:6" ht="56.25" customHeight="1">
      <c r="A58" s="1015" t="s">
        <v>2969</v>
      </c>
      <c r="B58" s="706" t="s">
        <v>2317</v>
      </c>
      <c r="C58" s="514" t="s">
        <v>3076</v>
      </c>
      <c r="D58" s="514" t="s">
        <v>17</v>
      </c>
      <c r="E58" s="514" t="s">
        <v>2803</v>
      </c>
      <c r="F58" s="707"/>
    </row>
    <row r="59" spans="1:6" ht="55.2">
      <c r="A59" s="1016"/>
      <c r="B59" s="706" t="s">
        <v>2318</v>
      </c>
      <c r="C59" s="514" t="s">
        <v>3077</v>
      </c>
      <c r="D59" s="514" t="s">
        <v>17</v>
      </c>
      <c r="E59" s="514" t="s">
        <v>2803</v>
      </c>
      <c r="F59" s="707"/>
    </row>
    <row r="60" spans="1:6" ht="45" customHeight="1">
      <c r="A60" s="1016"/>
      <c r="B60" s="706" t="s">
        <v>2322</v>
      </c>
      <c r="C60" s="514" t="s">
        <v>3078</v>
      </c>
      <c r="D60" s="514" t="s">
        <v>17</v>
      </c>
      <c r="E60" s="514" t="s">
        <v>2803</v>
      </c>
      <c r="F60" s="707"/>
    </row>
    <row r="61" spans="1:6" ht="25.95" customHeight="1">
      <c r="A61" s="1012" t="s">
        <v>3137</v>
      </c>
      <c r="B61" s="846" t="s">
        <v>2323</v>
      </c>
      <c r="C61" s="853" t="s">
        <v>3133</v>
      </c>
      <c r="D61" s="853" t="s">
        <v>17</v>
      </c>
      <c r="E61" s="848"/>
      <c r="F61" s="848"/>
    </row>
    <row r="62" spans="1:6" ht="15.45" customHeight="1">
      <c r="A62" s="1013"/>
      <c r="B62" s="846" t="s">
        <v>2325</v>
      </c>
      <c r="C62" s="853" t="s">
        <v>3134</v>
      </c>
      <c r="D62" s="853" t="s">
        <v>17</v>
      </c>
      <c r="E62" s="848"/>
      <c r="F62" s="848"/>
    </row>
    <row r="63" spans="1:6" ht="15.45" customHeight="1">
      <c r="A63" s="1013"/>
      <c r="B63" s="846" t="s">
        <v>2327</v>
      </c>
      <c r="C63" s="853" t="s">
        <v>3135</v>
      </c>
      <c r="D63" s="853" t="s">
        <v>19</v>
      </c>
      <c r="E63" s="848"/>
      <c r="F63" s="848"/>
    </row>
    <row r="64" spans="1:6" ht="45" customHeight="1">
      <c r="A64" s="1014"/>
      <c r="B64" s="846" t="s">
        <v>2328</v>
      </c>
      <c r="C64" s="853" t="s">
        <v>3136</v>
      </c>
      <c r="D64" s="853" t="s">
        <v>18</v>
      </c>
      <c r="E64" s="848"/>
      <c r="F64" s="848"/>
    </row>
  </sheetData>
  <autoFilter ref="B2:F52" xr:uid="{00000000-0009-0000-0000-000004000000}"/>
  <mergeCells count="8">
    <mergeCell ref="A61:A64"/>
    <mergeCell ref="A58:A60"/>
    <mergeCell ref="B1:F1"/>
    <mergeCell ref="A3:A15"/>
    <mergeCell ref="A16:A29"/>
    <mergeCell ref="A30:A42"/>
    <mergeCell ref="A43:A52"/>
    <mergeCell ref="A53:A56"/>
  </mergeCells>
  <phoneticPr fontId="147" type="noConversion"/>
  <pageMargins left="0.25" right="0.25" top="0" bottom="0" header="0.3" footer="0.3"/>
  <pageSetup scale="66" orientation="portrait" r:id="rId1"/>
  <rowBreaks count="2" manualBreakCount="2">
    <brk id="19" max="6" man="1"/>
    <brk id="4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9765625" style="268" customWidth="1"/>
    <col min="2" max="2" width="40.19921875" style="296" customWidth="1"/>
    <col min="3" max="3" width="11.59765625" style="289" customWidth="1"/>
    <col min="4" max="4" width="16.59765625" style="289" hidden="1" customWidth="1"/>
    <col min="5" max="5" width="13.19921875" style="289" bestFit="1" customWidth="1"/>
    <col min="6" max="6" width="65.19921875" style="295" customWidth="1"/>
    <col min="7" max="7" width="21.09765625" style="180" customWidth="1"/>
    <col min="8" max="8" width="20.796875" style="180" customWidth="1"/>
    <col min="9" max="9" width="57.296875" style="179" bestFit="1" customWidth="1"/>
    <col min="10" max="16384" width="8" style="290"/>
  </cols>
  <sheetData>
    <row r="1" spans="1:9" ht="45" customHeight="1">
      <c r="A1" s="1032"/>
      <c r="B1" s="1032"/>
      <c r="C1" s="1032"/>
      <c r="D1" s="1032"/>
      <c r="E1" s="1032"/>
      <c r="F1" s="1032"/>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2332</v>
      </c>
    </row>
    <row r="3" spans="1:9" ht="36" customHeight="1">
      <c r="A3" s="272" t="s">
        <v>0</v>
      </c>
      <c r="B3" s="243" t="s">
        <v>2334</v>
      </c>
      <c r="C3" s="273" t="s">
        <v>16</v>
      </c>
      <c r="D3" s="273"/>
      <c r="E3" s="273" t="s">
        <v>2280</v>
      </c>
      <c r="F3" s="241" t="s">
        <v>2334</v>
      </c>
      <c r="G3" s="184"/>
      <c r="H3" s="185"/>
      <c r="I3" s="186"/>
    </row>
    <row r="4" spans="1:9" ht="36" customHeight="1">
      <c r="A4" s="272" t="s">
        <v>1</v>
      </c>
      <c r="B4" s="243" t="s">
        <v>2335</v>
      </c>
      <c r="C4" s="273" t="s">
        <v>16</v>
      </c>
      <c r="D4" s="273"/>
      <c r="E4" s="273" t="s">
        <v>2280</v>
      </c>
      <c r="F4" s="241" t="s">
        <v>2418</v>
      </c>
      <c r="G4" s="184"/>
      <c r="H4" s="185"/>
      <c r="I4" s="186"/>
    </row>
    <row r="5" spans="1:9" ht="36" customHeight="1">
      <c r="A5" s="272" t="s">
        <v>2</v>
      </c>
      <c r="B5" s="243" t="s">
        <v>2336</v>
      </c>
      <c r="C5" s="273" t="s">
        <v>16</v>
      </c>
      <c r="D5" s="273"/>
      <c r="E5" s="273" t="s">
        <v>2280</v>
      </c>
      <c r="F5" s="241" t="s">
        <v>2336</v>
      </c>
      <c r="G5" s="184"/>
      <c r="H5" s="185"/>
      <c r="I5" s="186"/>
    </row>
    <row r="6" spans="1:9" ht="36" customHeight="1">
      <c r="A6" s="272" t="s">
        <v>3</v>
      </c>
      <c r="B6" s="243" t="s">
        <v>2337</v>
      </c>
      <c r="C6" s="273" t="s">
        <v>18</v>
      </c>
      <c r="D6" s="273"/>
      <c r="E6" s="273" t="s">
        <v>2280</v>
      </c>
      <c r="F6" s="241" t="s">
        <v>2417</v>
      </c>
      <c r="G6" s="184"/>
      <c r="H6" s="185"/>
      <c r="I6" s="186"/>
    </row>
    <row r="7" spans="1:9" ht="36" customHeight="1">
      <c r="A7" s="272" t="s">
        <v>4</v>
      </c>
      <c r="B7" s="243" t="s">
        <v>2338</v>
      </c>
      <c r="C7" s="273" t="s">
        <v>16</v>
      </c>
      <c r="D7" s="273"/>
      <c r="E7" s="273" t="s">
        <v>2280</v>
      </c>
      <c r="F7" s="241" t="s">
        <v>2338</v>
      </c>
      <c r="G7" s="184"/>
      <c r="H7" s="185"/>
      <c r="I7" s="186"/>
    </row>
    <row r="8" spans="1:9" ht="36" customHeight="1">
      <c r="A8" s="272" t="s">
        <v>1149</v>
      </c>
      <c r="B8" s="243" t="s">
        <v>2339</v>
      </c>
      <c r="C8" s="273" t="s">
        <v>16</v>
      </c>
      <c r="D8" s="273"/>
      <c r="E8" s="273" t="s">
        <v>2280</v>
      </c>
      <c r="F8" s="241" t="s">
        <v>2339</v>
      </c>
      <c r="G8" s="184"/>
      <c r="H8" s="185"/>
      <c r="I8" s="186"/>
    </row>
    <row r="9" spans="1:9" ht="45" customHeight="1">
      <c r="A9" s="272" t="s">
        <v>5</v>
      </c>
      <c r="B9" s="243" t="s">
        <v>2340</v>
      </c>
      <c r="C9" s="273" t="s">
        <v>2410</v>
      </c>
      <c r="D9" s="273"/>
      <c r="E9" s="273" t="s">
        <v>2280</v>
      </c>
      <c r="F9" s="241" t="s">
        <v>2340</v>
      </c>
      <c r="G9" s="184"/>
      <c r="H9" s="185"/>
      <c r="I9" s="186"/>
    </row>
    <row r="10" spans="1:9" ht="45" customHeight="1">
      <c r="A10" s="272" t="s">
        <v>6</v>
      </c>
      <c r="B10" s="243" t="s">
        <v>2341</v>
      </c>
      <c r="C10" s="273" t="s">
        <v>16</v>
      </c>
      <c r="D10" s="273"/>
      <c r="E10" s="273" t="s">
        <v>2280</v>
      </c>
      <c r="F10" s="241" t="s">
        <v>2341</v>
      </c>
      <c r="G10" s="184"/>
      <c r="H10" s="185"/>
      <c r="I10" s="186"/>
    </row>
    <row r="11" spans="1:9" ht="37.5" customHeight="1">
      <c r="A11" s="272" t="s">
        <v>50</v>
      </c>
      <c r="B11" s="243" t="s">
        <v>2383</v>
      </c>
      <c r="C11" s="273" t="s">
        <v>17</v>
      </c>
      <c r="D11" s="273"/>
      <c r="E11" s="273" t="s">
        <v>2280</v>
      </c>
      <c r="F11" s="241" t="s">
        <v>2419</v>
      </c>
      <c r="G11" s="184"/>
      <c r="H11" s="185"/>
      <c r="I11" s="186"/>
    </row>
    <row r="12" spans="1:9" ht="37.5" customHeight="1">
      <c r="A12" s="272" t="s">
        <v>51</v>
      </c>
      <c r="B12" s="243" t="s">
        <v>2382</v>
      </c>
      <c r="C12" s="273" t="s">
        <v>17</v>
      </c>
      <c r="D12" s="273"/>
      <c r="E12" s="273" t="s">
        <v>2280</v>
      </c>
      <c r="F12" s="241" t="s">
        <v>2420</v>
      </c>
      <c r="G12" s="184"/>
      <c r="H12" s="185"/>
      <c r="I12" s="186"/>
    </row>
    <row r="13" spans="1:9" ht="37.5" customHeight="1">
      <c r="A13" s="272" t="s">
        <v>53</v>
      </c>
      <c r="B13" s="243" t="s">
        <v>2342</v>
      </c>
      <c r="C13" s="273" t="s">
        <v>19</v>
      </c>
      <c r="D13" s="273"/>
      <c r="E13" s="273" t="s">
        <v>2280</v>
      </c>
      <c r="F13" s="241" t="s">
        <v>2342</v>
      </c>
      <c r="G13" s="184"/>
      <c r="H13" s="185"/>
      <c r="I13" s="186"/>
    </row>
    <row r="14" spans="1:9" ht="37.5" customHeight="1">
      <c r="A14" s="272" t="s">
        <v>55</v>
      </c>
      <c r="B14" s="243" t="s">
        <v>2343</v>
      </c>
      <c r="C14" s="273" t="s">
        <v>19</v>
      </c>
      <c r="D14" s="273"/>
      <c r="E14" s="273" t="s">
        <v>2280</v>
      </c>
      <c r="F14" s="241" t="s">
        <v>2343</v>
      </c>
      <c r="G14" s="184"/>
      <c r="H14" s="185"/>
      <c r="I14" s="186"/>
    </row>
    <row r="15" spans="1:9" ht="45" customHeight="1">
      <c r="A15" s="272" t="s">
        <v>57</v>
      </c>
      <c r="B15" s="243" t="s">
        <v>2439</v>
      </c>
      <c r="C15" s="273" t="s">
        <v>17</v>
      </c>
      <c r="D15" s="273"/>
      <c r="E15" s="273" t="s">
        <v>2408</v>
      </c>
      <c r="F15" s="241" t="s">
        <v>2439</v>
      </c>
      <c r="G15" s="184"/>
      <c r="H15" s="185"/>
      <c r="I15" s="186"/>
    </row>
    <row r="16" spans="1:9" ht="45" customHeight="1">
      <c r="A16" s="272" t="s">
        <v>112</v>
      </c>
      <c r="B16" s="243" t="s">
        <v>1961</v>
      </c>
      <c r="C16" s="273" t="s">
        <v>17</v>
      </c>
      <c r="D16" s="273"/>
      <c r="E16" s="273" t="s">
        <v>293</v>
      </c>
      <c r="F16" s="241" t="s">
        <v>2344</v>
      </c>
      <c r="G16" s="184"/>
      <c r="H16" s="185"/>
      <c r="I16" s="186"/>
    </row>
    <row r="17" spans="1:9" ht="45" customHeight="1">
      <c r="A17" s="272" t="s">
        <v>113</v>
      </c>
      <c r="B17" s="243" t="s">
        <v>2345</v>
      </c>
      <c r="C17" s="273" t="s">
        <v>17</v>
      </c>
      <c r="D17" s="273"/>
      <c r="E17" s="273" t="s">
        <v>293</v>
      </c>
      <c r="F17" s="241" t="s">
        <v>2346</v>
      </c>
      <c r="G17" s="184"/>
      <c r="H17" s="185"/>
      <c r="I17" s="186"/>
    </row>
    <row r="18" spans="1:9" ht="38.4">
      <c r="A18" s="272" t="s">
        <v>59</v>
      </c>
      <c r="B18" s="243" t="s">
        <v>2347</v>
      </c>
      <c r="C18" s="273" t="s">
        <v>17</v>
      </c>
      <c r="D18" s="273" t="s">
        <v>2432</v>
      </c>
      <c r="E18" s="273" t="s">
        <v>2280</v>
      </c>
      <c r="F18" s="241" t="s">
        <v>2348</v>
      </c>
      <c r="G18" s="184"/>
      <c r="H18" s="185"/>
      <c r="I18" s="186"/>
    </row>
    <row r="19" spans="1:9" ht="45" customHeight="1">
      <c r="A19" s="272" t="s">
        <v>58</v>
      </c>
      <c r="B19" s="243" t="s">
        <v>2349</v>
      </c>
      <c r="C19" s="273" t="s">
        <v>2294</v>
      </c>
      <c r="D19" s="273"/>
      <c r="E19" s="273" t="s">
        <v>2280</v>
      </c>
      <c r="F19" s="241" t="s">
        <v>2421</v>
      </c>
      <c r="G19" s="184"/>
      <c r="H19" s="185"/>
      <c r="I19" s="186"/>
    </row>
    <row r="20" spans="1:9" ht="36" customHeight="1">
      <c r="A20" s="272" t="s">
        <v>60</v>
      </c>
      <c r="B20" s="243" t="s">
        <v>2350</v>
      </c>
      <c r="C20" s="273" t="s">
        <v>17</v>
      </c>
      <c r="D20" s="273"/>
      <c r="E20" s="273" t="s">
        <v>2280</v>
      </c>
      <c r="F20" s="241" t="s">
        <v>2423</v>
      </c>
      <c r="G20" s="184"/>
      <c r="H20" s="185"/>
      <c r="I20" s="186"/>
    </row>
    <row r="21" spans="1:9" ht="35.25" customHeight="1">
      <c r="A21" s="272" t="s">
        <v>1150</v>
      </c>
      <c r="B21" s="243" t="s">
        <v>2351</v>
      </c>
      <c r="C21" s="273" t="s">
        <v>17</v>
      </c>
      <c r="D21" s="273"/>
      <c r="E21" s="273" t="s">
        <v>2280</v>
      </c>
      <c r="F21" s="241" t="s">
        <v>2422</v>
      </c>
      <c r="G21" s="184"/>
      <c r="H21" s="185"/>
      <c r="I21" s="186"/>
    </row>
    <row r="22" spans="1:9" ht="52.5" customHeight="1">
      <c r="A22" s="274" t="s">
        <v>62</v>
      </c>
      <c r="B22" s="233" t="s">
        <v>2411</v>
      </c>
      <c r="C22" s="187" t="s">
        <v>17</v>
      </c>
      <c r="D22" s="187"/>
      <c r="E22" s="187" t="s">
        <v>2280</v>
      </c>
      <c r="F22" s="231" t="s">
        <v>2424</v>
      </c>
      <c r="G22" s="188" t="s">
        <v>56</v>
      </c>
      <c r="H22" s="189" t="s">
        <v>56</v>
      </c>
      <c r="I22" s="190" t="s">
        <v>2296</v>
      </c>
    </row>
    <row r="23" spans="1:9" ht="45" customHeight="1">
      <c r="A23" s="274" t="s">
        <v>63</v>
      </c>
      <c r="B23" s="233" t="s">
        <v>2388</v>
      </c>
      <c r="C23" s="187" t="s">
        <v>17</v>
      </c>
      <c r="D23" s="187"/>
      <c r="E23" s="187" t="s">
        <v>2280</v>
      </c>
      <c r="F23" s="231" t="s">
        <v>2388</v>
      </c>
      <c r="G23" s="184"/>
      <c r="H23" s="185"/>
      <c r="I23" s="186"/>
    </row>
    <row r="24" spans="1:9" ht="45" customHeight="1">
      <c r="A24" s="274" t="s">
        <v>64</v>
      </c>
      <c r="B24" s="233" t="s">
        <v>2389</v>
      </c>
      <c r="C24" s="187" t="s">
        <v>17</v>
      </c>
      <c r="D24" s="187"/>
      <c r="E24" s="187" t="s">
        <v>2280</v>
      </c>
      <c r="F24" s="234" t="s">
        <v>2390</v>
      </c>
      <c r="G24" s="184"/>
      <c r="H24" s="185"/>
      <c r="I24" s="186"/>
    </row>
    <row r="25" spans="1:9" ht="57.6">
      <c r="A25" s="274" t="s">
        <v>65</v>
      </c>
      <c r="B25" s="235" t="s">
        <v>2440</v>
      </c>
      <c r="C25" s="191" t="s">
        <v>17</v>
      </c>
      <c r="D25" s="187"/>
      <c r="E25" s="191" t="s">
        <v>2280</v>
      </c>
      <c r="F25" s="232" t="s">
        <v>2412</v>
      </c>
      <c r="G25" s="188" t="s">
        <v>56</v>
      </c>
      <c r="H25" s="189" t="s">
        <v>56</v>
      </c>
      <c r="I25" s="190" t="s">
        <v>2296</v>
      </c>
    </row>
    <row r="26" spans="1:9" ht="54" customHeight="1">
      <c r="A26" s="274" t="s">
        <v>67</v>
      </c>
      <c r="B26" s="233" t="s">
        <v>2413</v>
      </c>
      <c r="C26" s="191" t="s">
        <v>17</v>
      </c>
      <c r="D26" s="187"/>
      <c r="E26" s="191" t="s">
        <v>2280</v>
      </c>
      <c r="F26" s="234" t="s">
        <v>2376</v>
      </c>
      <c r="G26" s="184"/>
      <c r="H26" s="185"/>
      <c r="I26" s="186"/>
    </row>
    <row r="27" spans="1:9" ht="96">
      <c r="A27" s="274" t="s">
        <v>1151</v>
      </c>
      <c r="B27" s="235" t="s">
        <v>2441</v>
      </c>
      <c r="C27" s="191" t="s">
        <v>17</v>
      </c>
      <c r="D27" s="187"/>
      <c r="E27" s="191" t="s">
        <v>2280</v>
      </c>
      <c r="F27" s="235" t="s">
        <v>2441</v>
      </c>
      <c r="G27" s="184"/>
      <c r="H27" s="185"/>
      <c r="I27" s="186"/>
    </row>
    <row r="28" spans="1:9" ht="96">
      <c r="A28" s="274" t="s">
        <v>66</v>
      </c>
      <c r="B28" s="233" t="s">
        <v>2442</v>
      </c>
      <c r="C28" s="191" t="s">
        <v>17</v>
      </c>
      <c r="D28" s="187"/>
      <c r="E28" s="191" t="s">
        <v>2280</v>
      </c>
      <c r="F28" s="233" t="s">
        <v>2442</v>
      </c>
      <c r="G28" s="184"/>
      <c r="H28" s="185"/>
      <c r="I28" s="186"/>
    </row>
    <row r="29" spans="1:9" ht="55.5" customHeight="1">
      <c r="A29" s="274" t="s">
        <v>68</v>
      </c>
      <c r="B29" s="235" t="s">
        <v>2425</v>
      </c>
      <c r="C29" s="191" t="s">
        <v>2433</v>
      </c>
      <c r="D29" s="191" t="s">
        <v>2407</v>
      </c>
      <c r="E29" s="191" t="s">
        <v>2280</v>
      </c>
      <c r="F29" s="232" t="s">
        <v>2377</v>
      </c>
      <c r="G29" s="188" t="s">
        <v>56</v>
      </c>
      <c r="H29" s="188" t="s">
        <v>56</v>
      </c>
      <c r="I29" s="190" t="s">
        <v>2296</v>
      </c>
    </row>
    <row r="30" spans="1:9" ht="51.75" customHeight="1">
      <c r="A30" s="274" t="s">
        <v>69</v>
      </c>
      <c r="B30" s="235" t="s">
        <v>2430</v>
      </c>
      <c r="C30" s="191" t="s">
        <v>2433</v>
      </c>
      <c r="D30" s="191"/>
      <c r="E30" s="191" t="s">
        <v>2280</v>
      </c>
      <c r="F30" s="232" t="s">
        <v>2391</v>
      </c>
      <c r="G30" s="257"/>
      <c r="H30" s="185"/>
      <c r="I30" s="186"/>
    </row>
    <row r="31" spans="1:9" ht="69" customHeight="1">
      <c r="A31" s="274" t="s">
        <v>1284</v>
      </c>
      <c r="B31" s="235" t="s">
        <v>2443</v>
      </c>
      <c r="C31" s="191" t="s">
        <v>2433</v>
      </c>
      <c r="D31" s="191"/>
      <c r="E31" s="191" t="s">
        <v>2280</v>
      </c>
      <c r="F31" s="232" t="s">
        <v>2392</v>
      </c>
      <c r="G31" s="258"/>
      <c r="H31" s="248"/>
      <c r="I31" s="249"/>
    </row>
    <row r="32" spans="1:9" s="293" customFormat="1" ht="61.95" customHeight="1">
      <c r="A32" s="292" t="s">
        <v>1285</v>
      </c>
      <c r="B32" s="235" t="s">
        <v>2352</v>
      </c>
      <c r="C32" s="191" t="s">
        <v>2384</v>
      </c>
      <c r="D32" s="187" t="s">
        <v>2434</v>
      </c>
      <c r="E32" s="191" t="s">
        <v>2408</v>
      </c>
      <c r="F32" s="234" t="s">
        <v>2353</v>
      </c>
      <c r="G32" s="250" t="s">
        <v>56</v>
      </c>
      <c r="H32" s="251" t="s">
        <v>56</v>
      </c>
      <c r="I32" s="252" t="s">
        <v>2296</v>
      </c>
    </row>
    <row r="33" spans="1:9" s="293" customFormat="1" ht="60.75" customHeight="1">
      <c r="A33" s="292" t="s">
        <v>1286</v>
      </c>
      <c r="B33" s="235" t="s">
        <v>2405</v>
      </c>
      <c r="C33" s="259" t="s">
        <v>17</v>
      </c>
      <c r="D33" s="187" t="s">
        <v>2295</v>
      </c>
      <c r="E33" s="259" t="s">
        <v>293</v>
      </c>
      <c r="F33" s="255" t="s">
        <v>2354</v>
      </c>
      <c r="G33" s="250" t="s">
        <v>2297</v>
      </c>
      <c r="H33" s="251" t="s">
        <v>2297</v>
      </c>
      <c r="I33" s="252" t="s">
        <v>2296</v>
      </c>
    </row>
    <row r="34" spans="1:9" s="293" customFormat="1" ht="61.5" customHeight="1">
      <c r="A34" s="292" t="s">
        <v>1287</v>
      </c>
      <c r="B34" s="235" t="s">
        <v>2444</v>
      </c>
      <c r="C34" s="259" t="s">
        <v>2384</v>
      </c>
      <c r="D34" s="187" t="s">
        <v>2295</v>
      </c>
      <c r="E34" s="259" t="s">
        <v>2280</v>
      </c>
      <c r="F34" s="255" t="s">
        <v>2445</v>
      </c>
      <c r="G34" s="250" t="s">
        <v>2297</v>
      </c>
      <c r="H34" s="251" t="s">
        <v>2298</v>
      </c>
      <c r="I34" s="252" t="s">
        <v>2296</v>
      </c>
    </row>
    <row r="35" spans="1:9" s="293" customFormat="1" ht="61.5" customHeight="1">
      <c r="A35" s="292" t="s">
        <v>1288</v>
      </c>
      <c r="B35" s="235" t="s">
        <v>2446</v>
      </c>
      <c r="C35" s="275" t="s">
        <v>17</v>
      </c>
      <c r="D35" s="276"/>
      <c r="E35" s="277" t="s">
        <v>293</v>
      </c>
      <c r="F35" s="235" t="s">
        <v>2446</v>
      </c>
      <c r="G35" s="192"/>
      <c r="H35" s="193"/>
      <c r="I35" s="204"/>
    </row>
    <row r="36" spans="1:9" s="293" customFormat="1" ht="55.2" customHeight="1">
      <c r="A36" s="292" t="s">
        <v>1289</v>
      </c>
      <c r="B36" s="235" t="s">
        <v>2447</v>
      </c>
      <c r="C36" s="277" t="s">
        <v>17</v>
      </c>
      <c r="D36" s="277"/>
      <c r="E36" s="277" t="s">
        <v>293</v>
      </c>
      <c r="F36" s="255" t="s">
        <v>2448</v>
      </c>
      <c r="G36" s="192"/>
      <c r="H36" s="193"/>
      <c r="I36" s="204"/>
    </row>
    <row r="37" spans="1:9" s="293" customFormat="1" ht="45" customHeight="1">
      <c r="A37" s="292" t="s">
        <v>1290</v>
      </c>
      <c r="B37" s="235" t="s">
        <v>2394</v>
      </c>
      <c r="C37" s="194" t="s">
        <v>17</v>
      </c>
      <c r="D37" s="194"/>
      <c r="E37" s="194" t="s">
        <v>2280</v>
      </c>
      <c r="F37" s="255" t="s">
        <v>2395</v>
      </c>
      <c r="G37" s="184"/>
      <c r="H37" s="185"/>
      <c r="I37" s="186"/>
    </row>
    <row r="38" spans="1:9" s="293" customFormat="1" ht="57.6">
      <c r="A38" s="292" t="s">
        <v>1291</v>
      </c>
      <c r="B38" s="235" t="s">
        <v>2393</v>
      </c>
      <c r="C38" s="194" t="s">
        <v>17</v>
      </c>
      <c r="D38" s="194"/>
      <c r="E38" s="194" t="s">
        <v>2280</v>
      </c>
      <c r="F38" s="255" t="s">
        <v>2393</v>
      </c>
      <c r="G38" s="184"/>
      <c r="H38" s="185"/>
      <c r="I38" s="186"/>
    </row>
    <row r="39" spans="1:9" s="293" customFormat="1" ht="45" customHeight="1">
      <c r="A39" s="292" t="s">
        <v>1292</v>
      </c>
      <c r="B39" s="235" t="s">
        <v>2398</v>
      </c>
      <c r="C39" s="195" t="s">
        <v>17</v>
      </c>
      <c r="D39" s="195"/>
      <c r="E39" s="194" t="s">
        <v>2280</v>
      </c>
      <c r="F39" s="255" t="s">
        <v>2396</v>
      </c>
      <c r="G39" s="184"/>
      <c r="H39" s="185"/>
      <c r="I39" s="186"/>
    </row>
    <row r="40" spans="1:9" s="293" customFormat="1" ht="62.55" customHeight="1">
      <c r="A40" s="292" t="s">
        <v>1293</v>
      </c>
      <c r="B40" s="235" t="s">
        <v>2399</v>
      </c>
      <c r="C40" s="195" t="s">
        <v>17</v>
      </c>
      <c r="D40" s="195"/>
      <c r="E40" s="194" t="s">
        <v>2280</v>
      </c>
      <c r="F40" s="255" t="s">
        <v>2397</v>
      </c>
      <c r="G40" s="184"/>
      <c r="H40" s="185"/>
      <c r="I40" s="186"/>
    </row>
    <row r="41" spans="1:9" ht="45" customHeight="1">
      <c r="A41" s="292" t="s">
        <v>1959</v>
      </c>
      <c r="B41" s="235" t="s">
        <v>2449</v>
      </c>
      <c r="C41" s="191" t="s">
        <v>17</v>
      </c>
      <c r="D41" s="191"/>
      <c r="E41" s="194" t="s">
        <v>2408</v>
      </c>
      <c r="F41" s="255" t="s">
        <v>2450</v>
      </c>
      <c r="G41" s="184"/>
      <c r="H41" s="185"/>
      <c r="I41" s="186"/>
    </row>
    <row r="42" spans="1:9" ht="45" customHeight="1">
      <c r="A42" s="292" t="s">
        <v>1960</v>
      </c>
      <c r="B42" s="235" t="s">
        <v>2451</v>
      </c>
      <c r="C42" s="253" t="s">
        <v>17</v>
      </c>
      <c r="D42" s="191"/>
      <c r="E42" s="194" t="s">
        <v>2408</v>
      </c>
      <c r="F42" s="255" t="s">
        <v>2452</v>
      </c>
      <c r="G42" s="184"/>
      <c r="H42" s="185"/>
      <c r="I42" s="186"/>
    </row>
    <row r="43" spans="1:9" ht="47.25" customHeight="1">
      <c r="A43" s="292" t="s">
        <v>2198</v>
      </c>
      <c r="B43" s="235" t="s">
        <v>2355</v>
      </c>
      <c r="C43" s="253" t="s">
        <v>18</v>
      </c>
      <c r="D43" s="253"/>
      <c r="E43" s="253" t="s">
        <v>2280</v>
      </c>
      <c r="F43" s="255" t="s">
        <v>2355</v>
      </c>
      <c r="G43" s="184"/>
      <c r="H43" s="185"/>
      <c r="I43" s="186"/>
    </row>
    <row r="44" spans="1:9" ht="87.6" customHeight="1">
      <c r="A44" s="278" t="s">
        <v>2302</v>
      </c>
      <c r="B44" s="236" t="s">
        <v>2426</v>
      </c>
      <c r="C44" s="199" t="s">
        <v>17</v>
      </c>
      <c r="D44" s="199"/>
      <c r="E44" s="199" t="s">
        <v>2280</v>
      </c>
      <c r="F44" s="237" t="s">
        <v>2406</v>
      </c>
      <c r="G44" s="196" t="s">
        <v>2299</v>
      </c>
      <c r="H44" s="197" t="s">
        <v>2300</v>
      </c>
      <c r="I44" s="198" t="s">
        <v>2301</v>
      </c>
    </row>
    <row r="45" spans="1:9" ht="55.2">
      <c r="A45" s="278" t="s">
        <v>2303</v>
      </c>
      <c r="B45" s="236" t="s">
        <v>2453</v>
      </c>
      <c r="C45" s="199" t="s">
        <v>17</v>
      </c>
      <c r="D45" s="199"/>
      <c r="E45" s="199" t="s">
        <v>2280</v>
      </c>
      <c r="F45" s="237" t="s">
        <v>2427</v>
      </c>
      <c r="G45" s="196" t="s">
        <v>2299</v>
      </c>
      <c r="H45" s="197" t="s">
        <v>2300</v>
      </c>
      <c r="I45" s="198" t="s">
        <v>2301</v>
      </c>
    </row>
    <row r="46" spans="1:9" ht="45" customHeight="1">
      <c r="A46" s="278" t="s">
        <v>2304</v>
      </c>
      <c r="B46" s="236" t="s">
        <v>2454</v>
      </c>
      <c r="C46" s="199" t="s">
        <v>18</v>
      </c>
      <c r="D46" s="199"/>
      <c r="E46" s="199" t="s">
        <v>2280</v>
      </c>
      <c r="F46" s="237" t="s">
        <v>2455</v>
      </c>
      <c r="G46" s="184"/>
      <c r="H46" s="185"/>
      <c r="I46" s="186"/>
    </row>
    <row r="47" spans="1:9" ht="72.75" customHeight="1">
      <c r="A47" s="278" t="s">
        <v>2305</v>
      </c>
      <c r="B47" s="236" t="s">
        <v>2456</v>
      </c>
      <c r="C47" s="199" t="s">
        <v>17</v>
      </c>
      <c r="D47" s="199"/>
      <c r="E47" s="199" t="s">
        <v>2280</v>
      </c>
      <c r="F47" s="237" t="s">
        <v>2457</v>
      </c>
      <c r="G47" s="184"/>
      <c r="H47" s="185"/>
      <c r="I47" s="186"/>
    </row>
    <row r="48" spans="1:9" ht="94.5" customHeight="1">
      <c r="A48" s="278" t="s">
        <v>2307</v>
      </c>
      <c r="B48" s="236" t="s">
        <v>2458</v>
      </c>
      <c r="C48" s="199" t="s">
        <v>17</v>
      </c>
      <c r="D48" s="199"/>
      <c r="E48" s="199" t="s">
        <v>2280</v>
      </c>
      <c r="F48" s="237" t="s">
        <v>2459</v>
      </c>
      <c r="G48" s="184"/>
      <c r="H48" s="185"/>
      <c r="I48" s="186"/>
    </row>
    <row r="49" spans="1:9" ht="54" customHeight="1">
      <c r="A49" s="278" t="s">
        <v>2308</v>
      </c>
      <c r="B49" s="236" t="s">
        <v>2400</v>
      </c>
      <c r="C49" s="199" t="s">
        <v>17</v>
      </c>
      <c r="D49" s="199"/>
      <c r="E49" s="199" t="s">
        <v>2280</v>
      </c>
      <c r="F49" s="237" t="s">
        <v>2401</v>
      </c>
      <c r="G49" s="196" t="s">
        <v>2306</v>
      </c>
      <c r="H49" s="197" t="s">
        <v>61</v>
      </c>
      <c r="I49" s="198" t="s">
        <v>2301</v>
      </c>
    </row>
    <row r="50" spans="1:9" ht="55.2">
      <c r="A50" s="278" t="s">
        <v>2309</v>
      </c>
      <c r="B50" s="236" t="s">
        <v>2403</v>
      </c>
      <c r="C50" s="280" t="s">
        <v>2433</v>
      </c>
      <c r="D50" s="280"/>
      <c r="E50" s="280" t="s">
        <v>293</v>
      </c>
      <c r="F50" s="237" t="s">
        <v>2402</v>
      </c>
      <c r="G50" s="196" t="s">
        <v>2299</v>
      </c>
      <c r="H50" s="197" t="s">
        <v>61</v>
      </c>
      <c r="I50" s="198" t="s">
        <v>2301</v>
      </c>
    </row>
    <row r="51" spans="1:9" ht="38.4">
      <c r="A51" s="278" t="s">
        <v>2310</v>
      </c>
      <c r="B51" s="236" t="s">
        <v>2404</v>
      </c>
      <c r="C51" s="199" t="s">
        <v>17</v>
      </c>
      <c r="D51" s="199"/>
      <c r="E51" s="199" t="s">
        <v>293</v>
      </c>
      <c r="F51" s="237" t="s">
        <v>2356</v>
      </c>
      <c r="G51" s="184"/>
      <c r="H51" s="185"/>
      <c r="I51" s="186"/>
    </row>
    <row r="52" spans="1:9" ht="61.95" customHeight="1">
      <c r="A52" s="278" t="s">
        <v>2311</v>
      </c>
      <c r="B52" s="238" t="s">
        <v>2357</v>
      </c>
      <c r="C52" s="199" t="s">
        <v>2387</v>
      </c>
      <c r="D52" s="281"/>
      <c r="E52" s="281" t="s">
        <v>2280</v>
      </c>
      <c r="F52" s="237" t="s">
        <v>2358</v>
      </c>
      <c r="G52" s="184"/>
      <c r="H52" s="185"/>
      <c r="I52" s="186"/>
    </row>
    <row r="53" spans="1:9" ht="63" customHeight="1">
      <c r="A53" s="278" t="s">
        <v>2312</v>
      </c>
      <c r="B53" s="238" t="s">
        <v>2378</v>
      </c>
      <c r="C53" s="199" t="s">
        <v>2386</v>
      </c>
      <c r="D53" s="282"/>
      <c r="E53" s="282" t="s">
        <v>2280</v>
      </c>
      <c r="F53" s="237" t="s">
        <v>2359</v>
      </c>
      <c r="G53" s="184"/>
      <c r="H53" s="185"/>
      <c r="I53" s="186"/>
    </row>
    <row r="54" spans="1:9" ht="34.5" customHeight="1">
      <c r="A54" s="278" t="s">
        <v>2313</v>
      </c>
      <c r="B54" s="238" t="s">
        <v>2360</v>
      </c>
      <c r="C54" s="282" t="s">
        <v>17</v>
      </c>
      <c r="D54" s="282"/>
      <c r="E54" s="282" t="s">
        <v>2280</v>
      </c>
      <c r="F54" s="237" t="s">
        <v>2361</v>
      </c>
      <c r="G54" s="184"/>
      <c r="H54" s="185"/>
      <c r="I54" s="186"/>
    </row>
    <row r="55" spans="1:9" ht="45" customHeight="1">
      <c r="A55" s="278" t="s">
        <v>2314</v>
      </c>
      <c r="B55" s="238" t="s">
        <v>2362</v>
      </c>
      <c r="C55" s="282" t="s">
        <v>17</v>
      </c>
      <c r="D55" s="282"/>
      <c r="E55" s="282" t="s">
        <v>2280</v>
      </c>
      <c r="F55" s="237" t="s">
        <v>2363</v>
      </c>
      <c r="G55" s="184"/>
      <c r="H55" s="185"/>
      <c r="I55" s="186"/>
    </row>
    <row r="56" spans="1:9" ht="55.2">
      <c r="A56" s="278" t="s">
        <v>2315</v>
      </c>
      <c r="B56" s="238" t="s">
        <v>2460</v>
      </c>
      <c r="C56" s="282" t="s">
        <v>17</v>
      </c>
      <c r="D56" s="282"/>
      <c r="E56" s="282" t="s">
        <v>2408</v>
      </c>
      <c r="F56" s="237" t="s">
        <v>2461</v>
      </c>
      <c r="G56" s="196" t="s">
        <v>2299</v>
      </c>
      <c r="H56" s="197" t="s">
        <v>61</v>
      </c>
      <c r="I56" s="198" t="s">
        <v>2301</v>
      </c>
    </row>
    <row r="57" spans="1:9" ht="41.25" customHeight="1">
      <c r="A57" s="278" t="s">
        <v>2316</v>
      </c>
      <c r="B57" s="238" t="s">
        <v>2364</v>
      </c>
      <c r="C57" s="282" t="s">
        <v>18</v>
      </c>
      <c r="D57" s="282"/>
      <c r="E57" s="282" t="s">
        <v>2280</v>
      </c>
      <c r="F57" s="237" t="s">
        <v>2365</v>
      </c>
      <c r="G57" s="184"/>
      <c r="H57" s="185"/>
      <c r="I57" s="186"/>
    </row>
    <row r="58" spans="1:9" ht="38.4">
      <c r="A58" s="283" t="s">
        <v>2317</v>
      </c>
      <c r="B58" s="239" t="s">
        <v>2366</v>
      </c>
      <c r="C58" s="284" t="s">
        <v>17</v>
      </c>
      <c r="D58" s="284"/>
      <c r="E58" s="284" t="s">
        <v>2435</v>
      </c>
      <c r="F58" s="242" t="s">
        <v>2367</v>
      </c>
      <c r="G58" s="184"/>
      <c r="H58" s="185"/>
      <c r="I58" s="186"/>
    </row>
    <row r="59" spans="1:9" ht="38.4">
      <c r="A59" s="283" t="s">
        <v>2318</v>
      </c>
      <c r="B59" s="239" t="s">
        <v>2428</v>
      </c>
      <c r="C59" s="284" t="s">
        <v>17</v>
      </c>
      <c r="D59" s="284"/>
      <c r="E59" s="284" t="s">
        <v>2435</v>
      </c>
      <c r="F59" s="242" t="s">
        <v>2428</v>
      </c>
      <c r="G59" s="184"/>
      <c r="H59" s="185"/>
      <c r="I59" s="186"/>
    </row>
    <row r="60" spans="1:9" ht="38.4">
      <c r="A60" s="283" t="s">
        <v>2322</v>
      </c>
      <c r="B60" s="239" t="s">
        <v>2368</v>
      </c>
      <c r="C60" s="285" t="s">
        <v>17</v>
      </c>
      <c r="D60" s="285"/>
      <c r="E60" s="285" t="s">
        <v>293</v>
      </c>
      <c r="F60" s="242" t="s">
        <v>2368</v>
      </c>
      <c r="G60" s="184"/>
      <c r="H60" s="185"/>
      <c r="I60" s="186"/>
    </row>
    <row r="61" spans="1:9" ht="56.55" customHeight="1">
      <c r="A61" s="283" t="s">
        <v>2323</v>
      </c>
      <c r="B61" s="239" t="s">
        <v>2369</v>
      </c>
      <c r="C61" s="285" t="s">
        <v>17</v>
      </c>
      <c r="D61" s="285"/>
      <c r="E61" s="284" t="s">
        <v>2435</v>
      </c>
      <c r="F61" s="242" t="s">
        <v>2370</v>
      </c>
      <c r="G61" s="184"/>
      <c r="H61" s="185"/>
      <c r="I61" s="186"/>
    </row>
    <row r="62" spans="1:9" ht="56.55" customHeight="1">
      <c r="A62" s="283" t="s">
        <v>2325</v>
      </c>
      <c r="B62" s="239" t="s">
        <v>2429</v>
      </c>
      <c r="C62" s="285" t="s">
        <v>17</v>
      </c>
      <c r="D62" s="285"/>
      <c r="E62" s="284" t="s">
        <v>2435</v>
      </c>
      <c r="F62" s="242" t="s">
        <v>2429</v>
      </c>
      <c r="G62" s="184"/>
      <c r="H62" s="185"/>
      <c r="I62" s="186"/>
    </row>
    <row r="63" spans="1:9" ht="56.55" customHeight="1">
      <c r="A63" s="283" t="s">
        <v>2327</v>
      </c>
      <c r="B63" s="240" t="s">
        <v>2379</v>
      </c>
      <c r="C63" s="285" t="s">
        <v>17</v>
      </c>
      <c r="D63" s="285"/>
      <c r="E63" s="285" t="s">
        <v>2280</v>
      </c>
      <c r="F63" s="242" t="s">
        <v>2380</v>
      </c>
      <c r="G63" s="200" t="s">
        <v>2319</v>
      </c>
      <c r="H63" s="201" t="s">
        <v>2320</v>
      </c>
      <c r="I63" s="202" t="s">
        <v>2321</v>
      </c>
    </row>
    <row r="64" spans="1:9" ht="51" customHeight="1">
      <c r="A64" s="283" t="s">
        <v>2328</v>
      </c>
      <c r="B64" s="240" t="s">
        <v>2381</v>
      </c>
      <c r="C64" s="285" t="s">
        <v>17</v>
      </c>
      <c r="D64" s="285"/>
      <c r="E64" s="285" t="s">
        <v>2280</v>
      </c>
      <c r="F64" s="242" t="s">
        <v>2371</v>
      </c>
      <c r="G64" s="200" t="s">
        <v>2319</v>
      </c>
      <c r="H64" s="201" t="s">
        <v>2319</v>
      </c>
      <c r="I64" s="202" t="s">
        <v>2321</v>
      </c>
    </row>
    <row r="65" spans="1:9" ht="44.25" customHeight="1">
      <c r="A65" s="283" t="s">
        <v>2329</v>
      </c>
      <c r="B65" s="240" t="s">
        <v>2372</v>
      </c>
      <c r="C65" s="256" t="s">
        <v>17</v>
      </c>
      <c r="D65" s="256"/>
      <c r="E65" s="285" t="s">
        <v>2280</v>
      </c>
      <c r="F65" s="242" t="s">
        <v>2372</v>
      </c>
      <c r="G65" s="203" t="s">
        <v>2324</v>
      </c>
      <c r="H65" s="201" t="s">
        <v>61</v>
      </c>
      <c r="I65" s="202" t="s">
        <v>2321</v>
      </c>
    </row>
    <row r="66" spans="1:9" ht="64.5" customHeight="1">
      <c r="A66" s="283" t="s">
        <v>2414</v>
      </c>
      <c r="B66" s="240" t="s">
        <v>2373</v>
      </c>
      <c r="C66" s="256" t="s">
        <v>17</v>
      </c>
      <c r="D66" s="256"/>
      <c r="E66" s="285" t="s">
        <v>2280</v>
      </c>
      <c r="F66" s="242" t="s">
        <v>2373</v>
      </c>
      <c r="G66" s="203" t="s">
        <v>2326</v>
      </c>
      <c r="H66" s="201" t="s">
        <v>61</v>
      </c>
      <c r="I66" s="202" t="s">
        <v>2321</v>
      </c>
    </row>
    <row r="67" spans="1:9" ht="45" customHeight="1">
      <c r="A67" s="283" t="s">
        <v>2415</v>
      </c>
      <c r="B67" s="240" t="s">
        <v>2374</v>
      </c>
      <c r="C67" s="256" t="s">
        <v>2385</v>
      </c>
      <c r="D67" s="256"/>
      <c r="E67" s="256" t="s">
        <v>2408</v>
      </c>
      <c r="F67" s="242" t="s">
        <v>2374</v>
      </c>
      <c r="G67" s="184"/>
      <c r="H67" s="185"/>
      <c r="I67" s="186"/>
    </row>
    <row r="68" spans="1:9" ht="76.8">
      <c r="A68" s="283" t="s">
        <v>2436</v>
      </c>
      <c r="B68" s="240" t="s">
        <v>2462</v>
      </c>
      <c r="C68" s="256" t="s">
        <v>17</v>
      </c>
      <c r="D68" s="256"/>
      <c r="E68" s="256" t="s">
        <v>2408</v>
      </c>
      <c r="F68" s="242" t="s">
        <v>2462</v>
      </c>
      <c r="G68" s="184"/>
      <c r="H68" s="185"/>
      <c r="I68" s="186"/>
    </row>
    <row r="69" spans="1:9" ht="38.4">
      <c r="A69" s="283" t="s">
        <v>2437</v>
      </c>
      <c r="B69" s="240" t="s">
        <v>2463</v>
      </c>
      <c r="C69" s="287" t="s">
        <v>54</v>
      </c>
      <c r="D69" s="287"/>
      <c r="E69" s="256" t="s">
        <v>293</v>
      </c>
      <c r="F69" s="242" t="s">
        <v>2463</v>
      </c>
      <c r="G69" s="192"/>
      <c r="H69" s="193"/>
      <c r="I69" s="204"/>
    </row>
    <row r="70" spans="1:9" ht="54.75" customHeight="1">
      <c r="A70" s="283" t="s">
        <v>2438</v>
      </c>
      <c r="B70" s="240" t="s">
        <v>2375</v>
      </c>
      <c r="C70" s="287" t="s">
        <v>18</v>
      </c>
      <c r="D70" s="287"/>
      <c r="E70" s="287" t="s">
        <v>2280</v>
      </c>
      <c r="F70" s="242" t="s">
        <v>2375</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74" zoomScaleNormal="74" workbookViewId="0">
      <pane xSplit="3" ySplit="2" topLeftCell="F33" activePane="bottomRight" state="frozen"/>
      <selection pane="topRight" activeCell="D1" sqref="D1"/>
      <selection pane="bottomLeft" activeCell="A3" sqref="A3"/>
      <selection pane="bottomRight" activeCell="F39" sqref="E34:F39"/>
    </sheetView>
  </sheetViews>
  <sheetFormatPr defaultColWidth="9" defaultRowHeight="15.6"/>
  <cols>
    <col min="1" max="1" width="4.19921875" style="57" customWidth="1"/>
    <col min="2" max="2" width="19.296875" style="57" customWidth="1"/>
    <col min="3" max="3" width="43.59765625" style="57" customWidth="1"/>
    <col min="4" max="4" width="16.69921875" style="57" customWidth="1"/>
    <col min="5" max="5" width="15.59765625" style="57" customWidth="1"/>
    <col min="6" max="6" width="19.3984375" style="57" customWidth="1"/>
    <col min="7" max="7" width="16.296875" style="57" customWidth="1"/>
    <col min="8" max="8" width="13.09765625" style="57" customWidth="1"/>
    <col min="9" max="9" width="16" style="57" bestFit="1" customWidth="1"/>
    <col min="10" max="10" width="17.796875" style="57" bestFit="1" customWidth="1"/>
    <col min="11" max="12" width="9.59765625" style="57" customWidth="1"/>
    <col min="13" max="13" width="14.19921875" style="57" customWidth="1"/>
    <col min="14" max="15" width="17" style="57" customWidth="1"/>
    <col min="16" max="16" width="24.19921875" style="57" customWidth="1"/>
    <col min="17" max="17" width="13.19921875" style="57" customWidth="1"/>
    <col min="18" max="18" width="17.09765625" style="57" customWidth="1"/>
    <col min="19" max="19" width="19" style="57" customWidth="1"/>
    <col min="20" max="21" width="16.09765625" style="57" customWidth="1"/>
    <col min="22" max="22" width="21.59765625" style="57" customWidth="1"/>
    <col min="23" max="23" width="19.19921875" style="57" bestFit="1" customWidth="1"/>
    <col min="24" max="24" width="9.59765625" style="57" customWidth="1"/>
    <col min="25" max="25" width="30.09765625" style="57" bestFit="1" customWidth="1"/>
    <col min="26" max="26" width="10.69921875" style="57" bestFit="1" customWidth="1"/>
    <col min="27" max="37" width="9.19921875" style="57" customWidth="1"/>
    <col min="38" max="38" width="16.59765625" style="57" customWidth="1"/>
    <col min="39" max="39" width="16.796875" style="57" customWidth="1"/>
    <col min="40" max="40" width="9.19921875" style="57" customWidth="1"/>
    <col min="41" max="41" width="24.5" style="57" customWidth="1"/>
    <col min="42" max="42" width="22.296875" style="57" customWidth="1"/>
    <col min="43" max="43" width="19.19921875" style="57" bestFit="1" customWidth="1"/>
    <col min="44" max="44" width="9.19921875" style="57" customWidth="1"/>
    <col min="45" max="45" width="23" style="57" customWidth="1"/>
    <col min="46" max="46" width="9.19921875" style="57" customWidth="1"/>
    <col min="47" max="47" width="10.296875" style="57" customWidth="1"/>
    <col min="48" max="16384" width="9" style="57"/>
  </cols>
  <sheetData>
    <row r="1" spans="2:35" ht="124.8">
      <c r="B1"/>
      <c r="C1"/>
      <c r="D1" s="770" t="s">
        <v>2476</v>
      </c>
      <c r="E1" s="771" t="s">
        <v>2477</v>
      </c>
      <c r="F1" s="772" t="s">
        <v>2478</v>
      </c>
      <c r="G1" s="773" t="s">
        <v>2979</v>
      </c>
      <c r="H1" s="774" t="s">
        <v>2984</v>
      </c>
      <c r="I1" s="774" t="s">
        <v>3159</v>
      </c>
      <c r="J1" s="775" t="s">
        <v>2625</v>
      </c>
      <c r="K1" s="775" t="s">
        <v>2627</v>
      </c>
      <c r="L1" s="776" t="s">
        <v>3165</v>
      </c>
      <c r="M1" s="776" t="s">
        <v>3166</v>
      </c>
      <c r="N1" s="776" t="s">
        <v>3167</v>
      </c>
      <c r="O1" s="776" t="s">
        <v>3168</v>
      </c>
    </row>
    <row r="2" spans="2:35">
      <c r="B2"/>
      <c r="C2" s="762" t="s">
        <v>3035</v>
      </c>
      <c r="D2" s="761">
        <f>HRP_ref!C2</f>
        <v>118568</v>
      </c>
      <c r="E2" s="761">
        <f>HRP_ref!D2</f>
        <v>105013</v>
      </c>
      <c r="F2" s="761">
        <f>HRP_ref!E2</f>
        <v>118757.77402674592</v>
      </c>
      <c r="G2" s="761">
        <f>HRP_ref!F2</f>
        <v>1698</v>
      </c>
      <c r="H2" s="761">
        <f>HRP_ref!G2</f>
        <v>7400</v>
      </c>
      <c r="I2" s="761">
        <f>HRP_ref!H2</f>
        <v>600</v>
      </c>
      <c r="J2" s="761">
        <f>HRP_ref!I2</f>
        <v>116925.77402674592</v>
      </c>
      <c r="K2" s="761">
        <f>HRP_ref!J2</f>
        <v>56731</v>
      </c>
      <c r="L2" s="761">
        <f>HRP_ref!K2</f>
        <v>197</v>
      </c>
      <c r="M2" s="761">
        <f>HRP_ref!L2</f>
        <v>0</v>
      </c>
      <c r="N2" s="761">
        <f>HRP_ref!M2</f>
        <v>7400</v>
      </c>
      <c r="O2" s="761">
        <f>HRP_ref!N2</f>
        <v>600</v>
      </c>
      <c r="T2"/>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920" t="s">
        <v>34</v>
      </c>
      <c r="C4" s="921" t="s">
        <v>34</v>
      </c>
      <c r="K4" s="1033"/>
      <c r="L4" s="1033"/>
      <c r="M4" s="1033"/>
      <c r="S4"/>
    </row>
    <row r="5" spans="2:35">
      <c r="B5"/>
      <c r="C5"/>
      <c r="D5" s="386" t="s">
        <v>2621</v>
      </c>
      <c r="E5"/>
      <c r="F5"/>
      <c r="G5"/>
      <c r="H5"/>
      <c r="I5"/>
      <c r="J5" s="347"/>
      <c r="K5" s="1033"/>
      <c r="L5" s="1033"/>
      <c r="M5" s="1033"/>
      <c r="O5"/>
      <c r="P5"/>
      <c r="Q5"/>
      <c r="R5"/>
      <c r="S5"/>
      <c r="U5" s="448"/>
      <c r="V5" s="448"/>
      <c r="W5" s="448"/>
    </row>
    <row r="6" spans="2:35" ht="62.4">
      <c r="B6" s="921"/>
      <c r="C6" s="930" t="s">
        <v>1630</v>
      </c>
      <c r="D6" s="931" t="s">
        <v>2476</v>
      </c>
      <c r="E6" s="932" t="s">
        <v>2477</v>
      </c>
      <c r="F6" s="933" t="s">
        <v>2478</v>
      </c>
      <c r="G6" s="938" t="s">
        <v>2979</v>
      </c>
      <c r="H6" s="940" t="s">
        <v>2984</v>
      </c>
      <c r="I6" s="936" t="s">
        <v>2625</v>
      </c>
      <c r="J6" s="936" t="s">
        <v>2627</v>
      </c>
      <c r="K6"/>
      <c r="L6"/>
      <c r="M6"/>
      <c r="O6"/>
      <c r="P6"/>
      <c r="Q6"/>
      <c r="R6"/>
      <c r="S6"/>
      <c r="T6"/>
      <c r="U6" s="448"/>
      <c r="V6" s="448"/>
      <c r="W6" s="448"/>
      <c r="X6"/>
      <c r="AD6" s="384"/>
      <c r="AE6" s="384"/>
      <c r="AF6" s="384"/>
      <c r="AG6" s="384"/>
      <c r="AH6" s="384"/>
      <c r="AI6" s="384"/>
    </row>
    <row r="7" spans="2:35">
      <c r="B7" s="922" t="s">
        <v>293</v>
      </c>
      <c r="C7" s="929"/>
      <c r="D7" s="926"/>
      <c r="E7" s="927"/>
      <c r="F7" s="928"/>
      <c r="G7" s="937"/>
      <c r="H7" s="939"/>
      <c r="I7" s="935"/>
      <c r="J7" s="935"/>
      <c r="K7"/>
      <c r="L7"/>
      <c r="M7"/>
      <c r="O7"/>
      <c r="P7"/>
      <c r="Q7"/>
      <c r="R7"/>
      <c r="S7"/>
      <c r="T7"/>
      <c r="U7" s="448"/>
      <c r="V7" s="448"/>
      <c r="W7" s="448"/>
      <c r="X7"/>
    </row>
    <row r="8" spans="2:35">
      <c r="B8" s="924" t="s">
        <v>3144</v>
      </c>
      <c r="C8" s="929">
        <v>115345</v>
      </c>
      <c r="D8" s="926">
        <v>113925</v>
      </c>
      <c r="E8" s="927">
        <v>97852</v>
      </c>
      <c r="F8" s="928">
        <v>51806</v>
      </c>
      <c r="G8" s="937">
        <v>1272</v>
      </c>
      <c r="H8" s="939">
        <v>7400</v>
      </c>
      <c r="I8" s="935">
        <v>50574.624535315983</v>
      </c>
      <c r="J8" s="935">
        <v>26581</v>
      </c>
      <c r="K8"/>
      <c r="L8"/>
      <c r="M8"/>
      <c r="O8"/>
      <c r="P8"/>
      <c r="Q8"/>
      <c r="R8"/>
      <c r="S8"/>
      <c r="T8"/>
      <c r="U8" s="448"/>
      <c r="V8" s="448"/>
      <c r="W8" s="448"/>
      <c r="X8"/>
      <c r="Y8"/>
      <c r="Z8"/>
      <c r="AA8"/>
      <c r="AB8"/>
      <c r="AC8"/>
    </row>
    <row r="9" spans="2:35">
      <c r="B9" s="924" t="s">
        <v>3145</v>
      </c>
      <c r="C9" s="929">
        <v>119988</v>
      </c>
      <c r="D9" s="926">
        <v>118568</v>
      </c>
      <c r="E9" s="927">
        <v>102561</v>
      </c>
      <c r="F9" s="928">
        <v>118757.77402674592</v>
      </c>
      <c r="G9" s="937">
        <v>1682</v>
      </c>
      <c r="H9" s="939">
        <v>6050</v>
      </c>
      <c r="I9" s="935">
        <v>116925.77402674592</v>
      </c>
      <c r="J9" s="935">
        <v>56731</v>
      </c>
      <c r="K9" s="59"/>
      <c r="M9"/>
      <c r="N9"/>
      <c r="O9"/>
      <c r="P9"/>
      <c r="Q9"/>
      <c r="R9"/>
      <c r="S9"/>
      <c r="T9"/>
      <c r="U9" s="448"/>
      <c r="V9" s="448"/>
      <c r="W9" s="448"/>
      <c r="X9"/>
      <c r="Y9"/>
    </row>
    <row r="10" spans="2:35">
      <c r="B10" s="922" t="s">
        <v>1621</v>
      </c>
      <c r="C10" s="929">
        <v>235333</v>
      </c>
      <c r="D10" s="926">
        <v>232493</v>
      </c>
      <c r="E10" s="927">
        <v>200413</v>
      </c>
      <c r="F10" s="928">
        <v>170563.77402674593</v>
      </c>
      <c r="G10" s="937">
        <v>2954</v>
      </c>
      <c r="H10" s="939">
        <v>13450</v>
      </c>
      <c r="I10" s="935">
        <v>167500.39856206189</v>
      </c>
      <c r="J10" s="935">
        <v>83312</v>
      </c>
      <c r="K10" s="59"/>
      <c r="M10"/>
      <c r="N10"/>
      <c r="O10"/>
      <c r="P10"/>
      <c r="Q10"/>
      <c r="R10"/>
      <c r="S10" s="448"/>
      <c r="T10" s="448"/>
      <c r="U10" s="448"/>
      <c r="V10" s="448"/>
      <c r="W10" s="448"/>
      <c r="X10"/>
      <c r="Y10"/>
    </row>
    <row r="11" spans="2:35">
      <c r="B11"/>
      <c r="C11"/>
      <c r="D11"/>
      <c r="E11"/>
      <c r="F11"/>
      <c r="G11"/>
      <c r="H11"/>
      <c r="I11"/>
      <c r="J11"/>
      <c r="R11"/>
      <c r="S11" s="448"/>
      <c r="T11" s="448"/>
      <c r="U11" s="448"/>
      <c r="V11" s="448"/>
      <c r="W11" s="448"/>
    </row>
    <row r="12" spans="2:35">
      <c r="B12"/>
      <c r="C12"/>
      <c r="D12"/>
      <c r="E12"/>
      <c r="F12"/>
      <c r="G12"/>
      <c r="H12"/>
      <c r="I12"/>
      <c r="J12"/>
      <c r="M12"/>
      <c r="N12"/>
      <c r="O12"/>
      <c r="P12"/>
      <c r="Q12"/>
      <c r="S12"/>
      <c r="T12"/>
      <c r="U12"/>
      <c r="V12"/>
      <c r="W12"/>
    </row>
    <row r="13" spans="2:35">
      <c r="C13" s="149"/>
      <c r="D13" s="387"/>
      <c r="E13" s="149"/>
      <c r="F13" s="149"/>
      <c r="M13"/>
      <c r="N13"/>
      <c r="O13"/>
      <c r="P13" s="670">
        <v>0.47395118852676554</v>
      </c>
      <c r="Q13" s="822">
        <v>0.52604881147323446</v>
      </c>
      <c r="R13" s="670">
        <v>0.36707281803424513</v>
      </c>
      <c r="S13" s="670">
        <v>0.54496768878701107</v>
      </c>
      <c r="T13" s="670">
        <v>8.795949317874395E-2</v>
      </c>
      <c r="U13"/>
      <c r="W13"/>
      <c r="X13"/>
      <c r="Y13"/>
      <c r="Z13"/>
    </row>
    <row r="14" spans="2:35" ht="16.2" thickBot="1">
      <c r="C14" s="149"/>
      <c r="D14" s="388"/>
      <c r="E14" s="149"/>
      <c r="F14" s="149"/>
      <c r="Q14" s="57" t="s">
        <v>3175</v>
      </c>
    </row>
    <row r="15" spans="2:35" ht="31.8" thickBot="1">
      <c r="G15" s="871" t="s">
        <v>1625</v>
      </c>
      <c r="H15" s="872"/>
      <c r="I15" s="872"/>
      <c r="J15" s="872"/>
      <c r="K15" s="872"/>
      <c r="L15" s="872"/>
      <c r="M15" s="872"/>
      <c r="O15" s="822"/>
      <c r="P15" s="59"/>
      <c r="Q15" s="585" t="s">
        <v>1891</v>
      </c>
      <c r="R15" s="586"/>
      <c r="S15" s="1034" t="s">
        <v>1892</v>
      </c>
      <c r="T15" s="1034"/>
      <c r="U15" s="1035"/>
    </row>
    <row r="16" spans="2:35" ht="60" customHeight="1" thickTop="1">
      <c r="C16" s="72" t="s">
        <v>1622</v>
      </c>
      <c r="D16" s="583" t="s">
        <v>1623</v>
      </c>
      <c r="E16" s="583" t="s">
        <v>1624</v>
      </c>
      <c r="F16" s="749" t="s">
        <v>1631</v>
      </c>
      <c r="G16" s="754" t="s">
        <v>1082</v>
      </c>
      <c r="H16" s="755" t="s">
        <v>3170</v>
      </c>
      <c r="I16" s="755" t="s">
        <v>3171</v>
      </c>
      <c r="J16" s="755" t="s">
        <v>3172</v>
      </c>
      <c r="K16" s="841" t="s">
        <v>230</v>
      </c>
      <c r="L16" s="893" t="s">
        <v>3181</v>
      </c>
      <c r="M16" s="893" t="s">
        <v>3182</v>
      </c>
      <c r="N16" s="756" t="s">
        <v>2902</v>
      </c>
      <c r="O16" s="752" t="s">
        <v>1981</v>
      </c>
      <c r="P16" s="73" t="s">
        <v>1982</v>
      </c>
      <c r="Q16" s="587" t="s">
        <v>3173</v>
      </c>
      <c r="R16" s="588" t="s">
        <v>3174</v>
      </c>
      <c r="S16" s="588" t="s">
        <v>3176</v>
      </c>
      <c r="T16" s="588" t="s">
        <v>3177</v>
      </c>
      <c r="U16" s="589" t="s">
        <v>3178</v>
      </c>
      <c r="V16" s="73" t="s">
        <v>1627</v>
      </c>
    </row>
    <row r="17" spans="1:60" ht="62.4">
      <c r="C17" s="790" t="s">
        <v>2959</v>
      </c>
      <c r="D17" s="769" t="s">
        <v>293</v>
      </c>
      <c r="E17" s="769">
        <v>1238941.7131009183</v>
      </c>
      <c r="F17" s="889">
        <v>453333.44540623878</v>
      </c>
      <c r="G17" s="890">
        <f>D2</f>
        <v>118568</v>
      </c>
      <c r="H17" s="898">
        <v>35147</v>
      </c>
      <c r="I17" s="842">
        <v>20138</v>
      </c>
      <c r="J17" s="842">
        <v>7339</v>
      </c>
      <c r="K17" s="842"/>
      <c r="L17" s="842">
        <v>7607</v>
      </c>
      <c r="M17" s="842">
        <v>52069</v>
      </c>
      <c r="N17" s="757">
        <f t="shared" ref="N17:N24" si="0">SUM(G17:M17)</f>
        <v>240868</v>
      </c>
      <c r="O17" s="894">
        <f>N17/F17</f>
        <v>0.53132633923392669</v>
      </c>
      <c r="P17" s="895">
        <f t="shared" ref="P17:P19" si="1">1-O17</f>
        <v>0.46867366076607331</v>
      </c>
      <c r="Q17" s="769">
        <f t="shared" ref="Q17:Q24" si="2">N17*$P$13</f>
        <v>114159.67487806497</v>
      </c>
      <c r="R17" s="769">
        <f t="shared" ref="R17:R24" si="3">N17*$Q$13</f>
        <v>126708.32512193503</v>
      </c>
      <c r="S17" s="769">
        <f t="shared" ref="S17:S24" si="4">N17*$R$13</f>
        <v>88416.09553427255</v>
      </c>
      <c r="T17" s="769">
        <f t="shared" ref="T17:T24" si="5">N17*$S$13</f>
        <v>131265.27726274979</v>
      </c>
      <c r="U17" s="769">
        <f t="shared" ref="U17:U24" si="6">N17*$T$13</f>
        <v>21186.627202977699</v>
      </c>
      <c r="V17" s="769">
        <f t="shared" ref="V17:V24" si="7">F17-N17</f>
        <v>212465.44540623878</v>
      </c>
    </row>
    <row r="18" spans="1:60" ht="62.4">
      <c r="C18" s="793" t="s">
        <v>2960</v>
      </c>
      <c r="D18" s="767" t="s">
        <v>293</v>
      </c>
      <c r="E18" s="767">
        <v>1238941.7131009183</v>
      </c>
      <c r="F18" s="767">
        <v>277344.1113515597</v>
      </c>
      <c r="G18" s="874">
        <f>E2</f>
        <v>105013</v>
      </c>
      <c r="H18" s="899">
        <v>27563</v>
      </c>
      <c r="I18" s="843">
        <v>3116</v>
      </c>
      <c r="J18" s="843">
        <v>991</v>
      </c>
      <c r="K18" s="843"/>
      <c r="L18" s="843"/>
      <c r="M18" s="878">
        <v>22946</v>
      </c>
      <c r="N18" s="757">
        <f t="shared" si="0"/>
        <v>159629</v>
      </c>
      <c r="O18" s="806">
        <f t="shared" ref="O18:O24" si="8">N18/F18</f>
        <v>0.57556296840806276</v>
      </c>
      <c r="P18" s="768">
        <f t="shared" si="1"/>
        <v>0.42443703159193724</v>
      </c>
      <c r="Q18" s="767">
        <f t="shared" si="2"/>
        <v>75656.354273339064</v>
      </c>
      <c r="R18" s="767">
        <f t="shared" si="3"/>
        <v>83972.645726660936</v>
      </c>
      <c r="S18" s="767">
        <f t="shared" si="4"/>
        <v>58595.466869988515</v>
      </c>
      <c r="T18" s="767">
        <f t="shared" si="5"/>
        <v>86992.647193381796</v>
      </c>
      <c r="U18" s="767">
        <f t="shared" si="6"/>
        <v>14040.885936629718</v>
      </c>
      <c r="V18" s="767">
        <f t="shared" si="7"/>
        <v>117715.1113515597</v>
      </c>
    </row>
    <row r="19" spans="1:60" ht="78">
      <c r="B19" s="149"/>
      <c r="C19" s="792" t="s">
        <v>2961</v>
      </c>
      <c r="D19" s="765" t="s">
        <v>293</v>
      </c>
      <c r="E19" s="765">
        <v>1238941.7131009183</v>
      </c>
      <c r="F19" s="765">
        <v>511996.55675779848</v>
      </c>
      <c r="G19" s="879">
        <f>F2</f>
        <v>118757.77402674592</v>
      </c>
      <c r="H19" s="900">
        <v>40719</v>
      </c>
      <c r="I19" s="844">
        <v>37214</v>
      </c>
      <c r="J19" s="844">
        <v>7817</v>
      </c>
      <c r="K19" s="844">
        <v>120111</v>
      </c>
      <c r="L19" s="844">
        <v>29448</v>
      </c>
      <c r="M19" s="880">
        <v>31760</v>
      </c>
      <c r="N19" s="757">
        <f t="shared" si="0"/>
        <v>385826.77402674593</v>
      </c>
      <c r="O19" s="807">
        <f t="shared" si="8"/>
        <v>0.75357298586143118</v>
      </c>
      <c r="P19" s="766">
        <f t="shared" si="1"/>
        <v>0.24642701413856882</v>
      </c>
      <c r="Q19" s="765">
        <f t="shared" si="2"/>
        <v>182863.05811542404</v>
      </c>
      <c r="R19" s="765">
        <f t="shared" si="3"/>
        <v>202963.71591132189</v>
      </c>
      <c r="S19" s="765">
        <f t="shared" si="4"/>
        <v>141626.52121505953</v>
      </c>
      <c r="T19" s="765">
        <f t="shared" si="5"/>
        <v>210263.12531350413</v>
      </c>
      <c r="U19" s="765">
        <f t="shared" si="6"/>
        <v>33937.127498182344</v>
      </c>
      <c r="V19" s="765">
        <f t="shared" si="7"/>
        <v>126169.78273105255</v>
      </c>
    </row>
    <row r="20" spans="1:60" s="584" customFormat="1" ht="57.6">
      <c r="B20" s="658"/>
      <c r="C20" s="795" t="s">
        <v>2963</v>
      </c>
      <c r="D20" s="763" t="s">
        <v>293</v>
      </c>
      <c r="E20" s="763">
        <v>138485.43565504593</v>
      </c>
      <c r="F20" s="805">
        <v>57760.085675779846</v>
      </c>
      <c r="G20" s="881">
        <f>G2</f>
        <v>1698</v>
      </c>
      <c r="H20" s="882">
        <v>817</v>
      </c>
      <c r="I20" s="882">
        <v>8</v>
      </c>
      <c r="J20" s="882">
        <v>1916</v>
      </c>
      <c r="K20" s="882"/>
      <c r="L20" s="882"/>
      <c r="M20" s="882">
        <v>30974</v>
      </c>
      <c r="N20" s="757">
        <f t="shared" si="0"/>
        <v>35413</v>
      </c>
      <c r="O20" s="811">
        <f t="shared" si="8"/>
        <v>0.61310504625600826</v>
      </c>
      <c r="P20" s="764">
        <f t="shared" ref="P20" si="9">1-O20</f>
        <v>0.38689495374399174</v>
      </c>
      <c r="Q20" s="763">
        <f t="shared" si="2"/>
        <v>16784.03343929835</v>
      </c>
      <c r="R20" s="763">
        <f t="shared" si="3"/>
        <v>18628.96656070165</v>
      </c>
      <c r="S20" s="763">
        <f t="shared" si="4"/>
        <v>12999.149705046722</v>
      </c>
      <c r="T20" s="763">
        <f t="shared" si="5"/>
        <v>19298.940763014423</v>
      </c>
      <c r="U20" s="763">
        <f t="shared" si="6"/>
        <v>3114.9095319388593</v>
      </c>
      <c r="V20" s="763">
        <f t="shared" si="7"/>
        <v>22347.085675779846</v>
      </c>
      <c r="W20" s="763"/>
      <c r="X20" s="763"/>
      <c r="Y20" s="763"/>
      <c r="Z20" s="763"/>
      <c r="AA20" s="763"/>
      <c r="AB20" s="763"/>
      <c r="AC20" s="763"/>
    </row>
    <row r="21" spans="1:60" s="584" customFormat="1" ht="57.6">
      <c r="B21" s="658"/>
      <c r="C21" s="794" t="s">
        <v>3148</v>
      </c>
      <c r="D21" s="721" t="s">
        <v>293</v>
      </c>
      <c r="E21" s="728">
        <v>28428.530000000002</v>
      </c>
      <c r="F21" s="750">
        <v>10934.050000000001</v>
      </c>
      <c r="G21" s="883">
        <f>H2</f>
        <v>7400</v>
      </c>
      <c r="H21" s="729"/>
      <c r="I21" s="729"/>
      <c r="J21" s="729"/>
      <c r="K21" s="729"/>
      <c r="L21" s="729"/>
      <c r="M21" s="729"/>
      <c r="N21" s="757">
        <f t="shared" si="0"/>
        <v>7400</v>
      </c>
      <c r="O21" s="809">
        <f t="shared" si="8"/>
        <v>0.67678490586745066</v>
      </c>
      <c r="P21" s="810">
        <f t="shared" ref="P21" si="10">1-O21</f>
        <v>0.32321509413254934</v>
      </c>
      <c r="Q21" s="729">
        <f t="shared" si="2"/>
        <v>3507.2387950980651</v>
      </c>
      <c r="R21" s="729">
        <f t="shared" si="3"/>
        <v>3892.7612049019349</v>
      </c>
      <c r="S21" s="729">
        <f t="shared" si="4"/>
        <v>2716.3388534534138</v>
      </c>
      <c r="T21" s="729">
        <f t="shared" si="5"/>
        <v>4032.7608970238821</v>
      </c>
      <c r="U21" s="729">
        <f t="shared" si="6"/>
        <v>650.90024952270528</v>
      </c>
      <c r="V21" s="729">
        <f t="shared" si="7"/>
        <v>3534.0500000000011</v>
      </c>
    </row>
    <row r="22" spans="1:60" s="584" customFormat="1" ht="57.6">
      <c r="B22" s="658"/>
      <c r="C22" s="794" t="s">
        <v>3149</v>
      </c>
      <c r="D22" s="721" t="s">
        <v>293</v>
      </c>
      <c r="E22" s="728">
        <v>21868.100000000002</v>
      </c>
      <c r="F22" s="750">
        <v>6560.4299999999994</v>
      </c>
      <c r="G22" s="884">
        <f>I2</f>
        <v>600</v>
      </c>
      <c r="H22" s="854"/>
      <c r="I22" s="854"/>
      <c r="J22" s="854"/>
      <c r="K22" s="854"/>
      <c r="L22" s="854"/>
      <c r="M22" s="854"/>
      <c r="N22" s="757">
        <f t="shared" si="0"/>
        <v>600</v>
      </c>
      <c r="O22" s="809">
        <f t="shared" si="8"/>
        <v>9.1457419711817672E-2</v>
      </c>
      <c r="P22" s="810">
        <f t="shared" ref="P22" si="11">1-O22</f>
        <v>0.90854258028818236</v>
      </c>
      <c r="Q22" s="729">
        <f t="shared" si="2"/>
        <v>284.37071311605933</v>
      </c>
      <c r="R22" s="729">
        <f t="shared" si="3"/>
        <v>315.62928688394067</v>
      </c>
      <c r="S22" s="729">
        <f t="shared" si="4"/>
        <v>220.24369082054707</v>
      </c>
      <c r="T22" s="729">
        <f t="shared" si="5"/>
        <v>326.98061327220665</v>
      </c>
      <c r="U22" s="729">
        <f t="shared" si="6"/>
        <v>52.775695907246373</v>
      </c>
      <c r="V22" s="729">
        <f t="shared" si="7"/>
        <v>5960.4299999999994</v>
      </c>
    </row>
    <row r="23" spans="1:60" ht="31.2">
      <c r="B23" s="789"/>
      <c r="C23" s="791" t="s">
        <v>3169</v>
      </c>
      <c r="D23" s="582" t="s">
        <v>293</v>
      </c>
      <c r="E23" s="579">
        <v>1238941.7131009183</v>
      </c>
      <c r="F23" s="751">
        <v>511996.55675779848</v>
      </c>
      <c r="G23" s="885">
        <f>K2</f>
        <v>56731</v>
      </c>
      <c r="H23" s="875">
        <v>7120</v>
      </c>
      <c r="I23" s="876">
        <v>14350</v>
      </c>
      <c r="J23" s="876">
        <v>6804</v>
      </c>
      <c r="K23" s="876"/>
      <c r="L23" s="876">
        <v>29448</v>
      </c>
      <c r="M23" s="886">
        <v>31760</v>
      </c>
      <c r="N23" s="757">
        <f t="shared" si="0"/>
        <v>146213</v>
      </c>
      <c r="O23" s="753">
        <f t="shared" si="8"/>
        <v>0.28557418613494018</v>
      </c>
      <c r="P23" s="581">
        <f t="shared" ref="P23" si="12">1-O23</f>
        <v>0.71442581386505988</v>
      </c>
      <c r="Q23" s="580">
        <f t="shared" si="2"/>
        <v>69297.825128063967</v>
      </c>
      <c r="R23" s="580">
        <f t="shared" si="3"/>
        <v>76915.174871936033</v>
      </c>
      <c r="S23" s="580">
        <f t="shared" si="4"/>
        <v>53670.817943241083</v>
      </c>
      <c r="T23" s="580">
        <f t="shared" si="5"/>
        <v>79681.360680615253</v>
      </c>
      <c r="U23" s="580">
        <f t="shared" si="6"/>
        <v>12860.821376143689</v>
      </c>
      <c r="V23" s="580">
        <f t="shared" si="7"/>
        <v>365783.55675779848</v>
      </c>
    </row>
    <row r="24" spans="1:60" ht="31.8" thickBot="1">
      <c r="B24" s="789"/>
      <c r="C24" s="791" t="s">
        <v>2626</v>
      </c>
      <c r="D24" s="582" t="s">
        <v>293</v>
      </c>
      <c r="E24" s="579">
        <v>1238941.7131009183</v>
      </c>
      <c r="F24" s="751">
        <v>511996.55675779848</v>
      </c>
      <c r="G24" s="887">
        <f>J2</f>
        <v>116925.77402674592</v>
      </c>
      <c r="H24" s="873">
        <v>40163</v>
      </c>
      <c r="I24" s="873">
        <v>35054</v>
      </c>
      <c r="J24" s="873">
        <v>7817</v>
      </c>
      <c r="K24" s="873">
        <v>120111</v>
      </c>
      <c r="L24" s="873">
        <v>29448</v>
      </c>
      <c r="M24" s="888">
        <v>31760</v>
      </c>
      <c r="N24" s="877">
        <f t="shared" si="0"/>
        <v>381278.77402674593</v>
      </c>
      <c r="O24" s="753">
        <f t="shared" si="8"/>
        <v>0.74469011362338322</v>
      </c>
      <c r="P24" s="581">
        <f t="shared" ref="P24" si="13">1-O24</f>
        <v>0.25530988637661678</v>
      </c>
      <c r="Q24" s="580">
        <f t="shared" si="2"/>
        <v>180707.52811000429</v>
      </c>
      <c r="R24" s="580">
        <f t="shared" si="3"/>
        <v>200571.24591674164</v>
      </c>
      <c r="S24" s="580">
        <f t="shared" si="4"/>
        <v>139957.07403863978</v>
      </c>
      <c r="T24" s="580">
        <f t="shared" si="5"/>
        <v>207784.61226490079</v>
      </c>
      <c r="U24" s="580">
        <f t="shared" si="6"/>
        <v>33537.087723205412</v>
      </c>
      <c r="V24" s="580">
        <f t="shared" si="7"/>
        <v>130717.78273105255</v>
      </c>
    </row>
    <row r="25" spans="1:60" ht="16.2" thickTop="1">
      <c r="C25"/>
      <c r="D25"/>
      <c r="V25"/>
      <c r="W25"/>
      <c r="AP25"/>
      <c r="AQ25"/>
    </row>
    <row r="26" spans="1:60">
      <c r="C26"/>
      <c r="D26"/>
    </row>
    <row r="27" spans="1:60" ht="23.4">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2622</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05" customHeight="1">
      <c r="B34" s="822"/>
      <c r="C34" s="723" t="s">
        <v>3149</v>
      </c>
      <c r="D34" s="724">
        <v>6560.4299999999994</v>
      </c>
      <c r="E34" s="727">
        <f>G22+H22</f>
        <v>600</v>
      </c>
      <c r="F34" s="727">
        <f t="shared" ref="F34:F36" si="14">D34-E34</f>
        <v>5960.4299999999994</v>
      </c>
      <c r="G34" s="796">
        <f>D34-E34</f>
        <v>5960.4299999999994</v>
      </c>
      <c r="P34" s="723" t="s">
        <v>3149</v>
      </c>
      <c r="Q34" s="724">
        <f>F22</f>
        <v>6560.4299999999994</v>
      </c>
      <c r="R34" s="727">
        <f>N22</f>
        <v>600</v>
      </c>
      <c r="S34" s="727">
        <f t="shared" ref="S34:S36" si="15">Q34-R34</f>
        <v>5960.4299999999994</v>
      </c>
      <c r="AL34"/>
      <c r="AM34"/>
      <c r="AT34" s="384"/>
      <c r="AU34" s="384"/>
      <c r="AV34" s="384"/>
      <c r="AW34" s="384"/>
      <c r="AX34" s="384"/>
      <c r="AY34" s="384"/>
      <c r="AZ34" s="384"/>
      <c r="BA34" s="384"/>
      <c r="BB34" s="384"/>
      <c r="BC34" s="384"/>
      <c r="BD34" s="384"/>
      <c r="BE34" s="384"/>
      <c r="BF34" s="384"/>
      <c r="BG34" s="384"/>
      <c r="BH34" s="384"/>
    </row>
    <row r="35" spans="2:60" ht="64.5" customHeight="1">
      <c r="C35" s="723" t="s">
        <v>3160</v>
      </c>
      <c r="D35" s="724">
        <v>10934.050000000001</v>
      </c>
      <c r="E35" s="727">
        <f>G21+H21</f>
        <v>7400</v>
      </c>
      <c r="F35" s="727">
        <f t="shared" si="14"/>
        <v>3534.0500000000011</v>
      </c>
      <c r="P35" s="723" t="s">
        <v>3160</v>
      </c>
      <c r="Q35" s="724">
        <f>F21</f>
        <v>10934.050000000001</v>
      </c>
      <c r="R35" s="727">
        <f>N21</f>
        <v>7400</v>
      </c>
      <c r="S35" s="727">
        <f t="shared" si="15"/>
        <v>3534.0500000000011</v>
      </c>
      <c r="T35" s="59">
        <f>Q36-R36</f>
        <v>22347.085675779846</v>
      </c>
      <c r="AL35"/>
      <c r="AM35"/>
    </row>
    <row r="36" spans="2:60" ht="93.6">
      <c r="C36" s="722" t="s">
        <v>2963</v>
      </c>
      <c r="D36" s="725">
        <v>28428.530000000002</v>
      </c>
      <c r="E36" s="726">
        <f>G20+H20</f>
        <v>2515</v>
      </c>
      <c r="F36" s="726">
        <f t="shared" si="14"/>
        <v>25913.530000000002</v>
      </c>
      <c r="G36" s="59"/>
      <c r="P36" s="722" t="s">
        <v>2963</v>
      </c>
      <c r="Q36" s="725">
        <f>F20</f>
        <v>57760.085675779846</v>
      </c>
      <c r="R36" s="726">
        <f>N20</f>
        <v>35413</v>
      </c>
      <c r="S36" s="726">
        <f t="shared" si="15"/>
        <v>22347.085675779846</v>
      </c>
      <c r="AL36"/>
      <c r="AM36"/>
    </row>
    <row r="37" spans="2:60" ht="124.8">
      <c r="C37" s="75" t="s">
        <v>2479</v>
      </c>
      <c r="D37" s="82">
        <v>218681</v>
      </c>
      <c r="E37" s="82">
        <f>G19+H19</f>
        <v>159476.77402674593</v>
      </c>
      <c r="F37" s="82">
        <f>D37-E37</f>
        <v>59204.22597325407</v>
      </c>
      <c r="H37" s="59"/>
      <c r="P37" s="75" t="s">
        <v>2479</v>
      </c>
      <c r="Q37" s="82">
        <f>F19</f>
        <v>511996.55675779848</v>
      </c>
      <c r="R37" s="82">
        <f>N19</f>
        <v>385826.77402674593</v>
      </c>
      <c r="S37" s="82">
        <f>Q37-R37</f>
        <v>126169.78273105255</v>
      </c>
      <c r="X37" s="59">
        <f>SUM(X34:X36)</f>
        <v>0</v>
      </c>
      <c r="AP37" s="59"/>
    </row>
    <row r="38" spans="2:60" ht="78">
      <c r="C38" s="74" t="s">
        <v>2480</v>
      </c>
      <c r="D38" s="81">
        <v>218681</v>
      </c>
      <c r="E38" s="81">
        <f>G18+H18</f>
        <v>132576</v>
      </c>
      <c r="F38" s="81">
        <f>D38-E38</f>
        <v>86105</v>
      </c>
      <c r="P38" s="74" t="s">
        <v>2480</v>
      </c>
      <c r="Q38" s="81">
        <f>F18</f>
        <v>277344.1113515597</v>
      </c>
      <c r="R38" s="81">
        <f>N18</f>
        <v>159629</v>
      </c>
      <c r="S38" s="81">
        <f>Q38-R38</f>
        <v>117715.1113515597</v>
      </c>
    </row>
    <row r="39" spans="2:60" ht="93.6">
      <c r="C39" s="78" t="s">
        <v>2481</v>
      </c>
      <c r="D39" s="80">
        <v>218681</v>
      </c>
      <c r="E39" s="80">
        <f>G17+H17</f>
        <v>153715</v>
      </c>
      <c r="F39" s="80">
        <f>D39-E39</f>
        <v>64966</v>
      </c>
      <c r="P39" s="78" t="s">
        <v>2481</v>
      </c>
      <c r="Q39" s="80">
        <f>F17</f>
        <v>453333.44540623878</v>
      </c>
      <c r="R39" s="80">
        <f>N17</f>
        <v>240868</v>
      </c>
      <c r="S39" s="80">
        <f>Q39-R39</f>
        <v>212465.44540623878</v>
      </c>
      <c r="V39"/>
      <c r="W39"/>
    </row>
    <row r="42" spans="2:60">
      <c r="C42"/>
      <c r="D42"/>
      <c r="E42" s="59"/>
    </row>
    <row r="49" spans="3:4">
      <c r="C49"/>
      <c r="D49"/>
    </row>
    <row r="50" spans="3:4">
      <c r="C50"/>
      <c r="D50"/>
    </row>
    <row r="51" spans="3:4">
      <c r="C51"/>
      <c r="D51"/>
    </row>
    <row r="52" spans="3:4">
      <c r="C52"/>
      <c r="D52"/>
    </row>
  </sheetData>
  <mergeCells count="2">
    <mergeCell ref="K4:M5"/>
    <mergeCell ref="S15:U15"/>
  </mergeCells>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25"/>
  <sheetViews>
    <sheetView topLeftCell="D1" workbookViewId="0">
      <selection activeCell="P8" sqref="P8"/>
    </sheetView>
  </sheetViews>
  <sheetFormatPr defaultRowHeight="15.6"/>
  <cols>
    <col min="1" max="1" width="14" customWidth="1"/>
    <col min="3" max="5" width="11.09765625" bestFit="1" customWidth="1"/>
    <col min="6" max="6" width="9.09765625" bestFit="1" customWidth="1"/>
    <col min="7" max="7" width="10.09765625" bestFit="1" customWidth="1"/>
    <col min="8" max="8" width="13.59765625" customWidth="1"/>
    <col min="9" max="9" width="12.8984375" customWidth="1"/>
    <col min="10" max="10" width="14.69921875" customWidth="1"/>
    <col min="11" max="11" width="9.8984375" customWidth="1"/>
    <col min="12" max="12" width="14.59765625" customWidth="1"/>
    <col min="13" max="13" width="12.59765625" customWidth="1"/>
    <col min="14" max="14" width="11.796875" customWidth="1"/>
  </cols>
  <sheetData>
    <row r="1" spans="1:14">
      <c r="C1" s="57"/>
      <c r="D1" s="57"/>
      <c r="E1" s="57"/>
      <c r="F1" s="57"/>
      <c r="G1" s="57"/>
      <c r="H1" s="57"/>
      <c r="I1" s="57"/>
    </row>
    <row r="2" spans="1:14" s="748" customFormat="1">
      <c r="A2" s="920" t="s">
        <v>34</v>
      </c>
      <c r="B2" s="921" t="s">
        <v>34</v>
      </c>
      <c r="C2" s="748">
        <f>SUM(C4:C27)</f>
        <v>118568</v>
      </c>
      <c r="D2" s="748">
        <f t="shared" ref="D2:N2" si="0">SUM(D4:D27)</f>
        <v>105013</v>
      </c>
      <c r="E2" s="748">
        <f t="shared" si="0"/>
        <v>118757.77402674592</v>
      </c>
      <c r="F2" s="748">
        <f t="shared" si="0"/>
        <v>1698</v>
      </c>
      <c r="G2" s="748">
        <f t="shared" si="0"/>
        <v>7400</v>
      </c>
      <c r="H2" s="748">
        <f t="shared" si="0"/>
        <v>600</v>
      </c>
      <c r="I2" s="748">
        <f t="shared" si="0"/>
        <v>116925.77402674592</v>
      </c>
      <c r="J2" s="748">
        <f t="shared" si="0"/>
        <v>56731</v>
      </c>
      <c r="K2" s="748">
        <f t="shared" si="0"/>
        <v>197</v>
      </c>
      <c r="L2" s="748">
        <f t="shared" si="0"/>
        <v>0</v>
      </c>
      <c r="M2" s="748">
        <f t="shared" si="0"/>
        <v>7400</v>
      </c>
      <c r="N2" s="748">
        <f t="shared" si="0"/>
        <v>600</v>
      </c>
    </row>
    <row r="3" spans="1:14" s="643" customFormat="1">
      <c r="A3"/>
      <c r="B3"/>
      <c r="C3"/>
      <c r="D3"/>
      <c r="E3"/>
      <c r="F3"/>
      <c r="G3"/>
      <c r="H3"/>
      <c r="I3"/>
      <c r="J3"/>
      <c r="K3"/>
      <c r="L3"/>
      <c r="M3"/>
    </row>
    <row r="4" spans="1:14" ht="127.95" customHeight="1">
      <c r="A4" s="921"/>
      <c r="B4" s="930" t="s">
        <v>3027</v>
      </c>
      <c r="C4" s="941" t="s">
        <v>3028</v>
      </c>
      <c r="D4" s="942" t="s">
        <v>3029</v>
      </c>
      <c r="E4" s="934" t="s">
        <v>3030</v>
      </c>
      <c r="F4" s="943" t="s">
        <v>3031</v>
      </c>
      <c r="G4" s="944" t="s">
        <v>3032</v>
      </c>
      <c r="H4" s="944" t="s">
        <v>3161</v>
      </c>
      <c r="I4" s="936" t="s">
        <v>3033</v>
      </c>
      <c r="J4" s="936" t="s">
        <v>3034</v>
      </c>
      <c r="K4" s="936" t="s">
        <v>3162</v>
      </c>
      <c r="L4" s="936" t="s">
        <v>3163</v>
      </c>
      <c r="M4" s="936" t="s">
        <v>3037</v>
      </c>
      <c r="N4" s="936" t="s">
        <v>3164</v>
      </c>
    </row>
    <row r="5" spans="1:14">
      <c r="A5" s="922" t="s">
        <v>411</v>
      </c>
      <c r="B5" s="929">
        <v>5133</v>
      </c>
      <c r="C5" s="926">
        <v>5133</v>
      </c>
      <c r="D5" s="927">
        <v>4516</v>
      </c>
      <c r="E5" s="928">
        <v>5133</v>
      </c>
      <c r="F5" s="937">
        <v>0</v>
      </c>
      <c r="G5" s="939">
        <v>0</v>
      </c>
      <c r="H5" s="925">
        <v>150</v>
      </c>
      <c r="I5" s="935">
        <v>5133</v>
      </c>
      <c r="J5" s="935">
        <v>5133</v>
      </c>
      <c r="K5" s="925"/>
      <c r="L5" s="925"/>
      <c r="M5" s="925">
        <v>0</v>
      </c>
      <c r="N5" s="925">
        <v>150</v>
      </c>
    </row>
    <row r="6" spans="1:14">
      <c r="A6" s="922" t="s">
        <v>413</v>
      </c>
      <c r="B6" s="929">
        <v>2489</v>
      </c>
      <c r="C6" s="926">
        <v>2489</v>
      </c>
      <c r="D6" s="927">
        <v>2300</v>
      </c>
      <c r="E6" s="928">
        <v>2489</v>
      </c>
      <c r="F6" s="937">
        <v>120</v>
      </c>
      <c r="G6" s="939">
        <v>200</v>
      </c>
      <c r="H6" s="925">
        <v>0</v>
      </c>
      <c r="I6" s="935">
        <v>2489</v>
      </c>
      <c r="J6" s="935">
        <v>386</v>
      </c>
      <c r="K6" s="925"/>
      <c r="L6" s="925"/>
      <c r="M6" s="925">
        <v>200</v>
      </c>
      <c r="N6" s="925">
        <v>0</v>
      </c>
    </row>
    <row r="7" spans="1:14">
      <c r="A7" s="922" t="s">
        <v>424</v>
      </c>
      <c r="B7" s="929">
        <v>5101</v>
      </c>
      <c r="C7" s="926">
        <v>5101</v>
      </c>
      <c r="D7" s="927">
        <v>4875</v>
      </c>
      <c r="E7" s="928">
        <v>5101</v>
      </c>
      <c r="F7" s="937">
        <v>254</v>
      </c>
      <c r="G7" s="939">
        <v>550</v>
      </c>
      <c r="H7" s="925">
        <v>0</v>
      </c>
      <c r="I7" s="935">
        <v>5101</v>
      </c>
      <c r="J7" s="935">
        <v>720</v>
      </c>
      <c r="K7" s="925"/>
      <c r="L7" s="925"/>
      <c r="M7" s="925">
        <v>550</v>
      </c>
      <c r="N7" s="925">
        <v>0</v>
      </c>
    </row>
    <row r="8" spans="1:14">
      <c r="A8" s="922" t="s">
        <v>426</v>
      </c>
      <c r="B8" s="929">
        <v>8728</v>
      </c>
      <c r="C8" s="926">
        <v>8728</v>
      </c>
      <c r="D8" s="927">
        <v>5540</v>
      </c>
      <c r="E8" s="928">
        <v>8630.7340267459131</v>
      </c>
      <c r="F8" s="937">
        <v>382</v>
      </c>
      <c r="G8" s="939">
        <v>0</v>
      </c>
      <c r="H8" s="925">
        <v>0</v>
      </c>
      <c r="I8" s="935">
        <v>8630.7340267459131</v>
      </c>
      <c r="J8" s="935">
        <v>0</v>
      </c>
      <c r="K8" s="925"/>
      <c r="L8" s="925"/>
      <c r="M8" s="925">
        <v>0</v>
      </c>
      <c r="N8" s="925">
        <v>0</v>
      </c>
    </row>
    <row r="9" spans="1:14">
      <c r="A9" s="922" t="s">
        <v>423</v>
      </c>
      <c r="B9" s="929">
        <v>11715</v>
      </c>
      <c r="C9" s="926">
        <v>11715</v>
      </c>
      <c r="D9" s="927">
        <v>9068</v>
      </c>
      <c r="E9" s="928">
        <v>11715</v>
      </c>
      <c r="F9" s="937">
        <v>570</v>
      </c>
      <c r="G9" s="939">
        <v>350</v>
      </c>
      <c r="H9" s="925">
        <v>0</v>
      </c>
      <c r="I9" s="935">
        <v>11715</v>
      </c>
      <c r="J9" s="935">
        <v>503</v>
      </c>
      <c r="K9" s="925"/>
      <c r="L9" s="925"/>
      <c r="M9" s="925">
        <v>350</v>
      </c>
      <c r="N9" s="925">
        <v>0</v>
      </c>
    </row>
    <row r="10" spans="1:14">
      <c r="A10" s="922" t="s">
        <v>2271</v>
      </c>
      <c r="B10" s="929">
        <v>2248</v>
      </c>
      <c r="C10" s="926">
        <v>2248</v>
      </c>
      <c r="D10" s="927">
        <v>2248</v>
      </c>
      <c r="E10" s="928">
        <v>2203.04</v>
      </c>
      <c r="F10" s="937">
        <v>0</v>
      </c>
      <c r="G10" s="939">
        <v>200</v>
      </c>
      <c r="H10" s="925">
        <v>0</v>
      </c>
      <c r="I10" s="935">
        <v>2203.04</v>
      </c>
      <c r="J10" s="935">
        <v>1162</v>
      </c>
      <c r="K10" s="925"/>
      <c r="L10" s="925"/>
      <c r="M10" s="925">
        <v>200</v>
      </c>
      <c r="N10" s="925">
        <v>0</v>
      </c>
    </row>
    <row r="11" spans="1:14">
      <c r="A11" s="922" t="s">
        <v>2272</v>
      </c>
      <c r="B11" s="929">
        <v>2262</v>
      </c>
      <c r="C11" s="926">
        <v>2262</v>
      </c>
      <c r="D11" s="927">
        <v>2186</v>
      </c>
      <c r="E11" s="928">
        <v>2262</v>
      </c>
      <c r="F11" s="937">
        <v>104</v>
      </c>
      <c r="G11" s="939">
        <v>150</v>
      </c>
      <c r="H11" s="925">
        <v>0</v>
      </c>
      <c r="I11" s="935">
        <v>2262</v>
      </c>
      <c r="J11" s="935">
        <v>190</v>
      </c>
      <c r="K11" s="925"/>
      <c r="L11" s="925"/>
      <c r="M11" s="925">
        <v>150</v>
      </c>
      <c r="N11" s="925">
        <v>0</v>
      </c>
    </row>
    <row r="12" spans="1:14">
      <c r="A12" s="922" t="s">
        <v>367</v>
      </c>
      <c r="B12" s="929">
        <v>1084</v>
      </c>
      <c r="C12" s="926">
        <v>1084</v>
      </c>
      <c r="D12" s="927">
        <v>1084</v>
      </c>
      <c r="E12" s="928">
        <v>1084</v>
      </c>
      <c r="F12" s="937">
        <v>3</v>
      </c>
      <c r="G12" s="939">
        <v>400</v>
      </c>
      <c r="H12" s="925">
        <v>0</v>
      </c>
      <c r="I12" s="935">
        <v>1084</v>
      </c>
      <c r="J12" s="935">
        <v>401</v>
      </c>
      <c r="K12" s="925">
        <v>197</v>
      </c>
      <c r="L12" s="925">
        <v>0</v>
      </c>
      <c r="M12" s="925">
        <v>400</v>
      </c>
      <c r="N12" s="925">
        <v>0</v>
      </c>
    </row>
    <row r="13" spans="1:14">
      <c r="A13" s="922" t="s">
        <v>409</v>
      </c>
      <c r="B13" s="929">
        <v>6680</v>
      </c>
      <c r="C13" s="926">
        <v>6680</v>
      </c>
      <c r="D13" s="927">
        <v>5074</v>
      </c>
      <c r="E13" s="928">
        <v>6680</v>
      </c>
      <c r="F13" s="937">
        <v>0</v>
      </c>
      <c r="G13" s="939">
        <v>0</v>
      </c>
      <c r="H13" s="925">
        <v>150</v>
      </c>
      <c r="I13" s="935">
        <v>6680</v>
      </c>
      <c r="J13" s="935">
        <v>6680</v>
      </c>
      <c r="K13" s="925"/>
      <c r="L13" s="925"/>
      <c r="M13" s="925">
        <v>0</v>
      </c>
      <c r="N13" s="925">
        <v>150</v>
      </c>
    </row>
    <row r="14" spans="1:14">
      <c r="A14" s="922" t="s">
        <v>430</v>
      </c>
      <c r="B14" s="929">
        <v>3486</v>
      </c>
      <c r="C14" s="926">
        <v>3486</v>
      </c>
      <c r="D14" s="927">
        <v>3486</v>
      </c>
      <c r="E14" s="928">
        <v>3486</v>
      </c>
      <c r="F14" s="937">
        <v>0</v>
      </c>
      <c r="G14" s="939">
        <v>400</v>
      </c>
      <c r="H14" s="925">
        <v>0</v>
      </c>
      <c r="I14" s="935">
        <v>3486</v>
      </c>
      <c r="J14" s="935">
        <v>1767</v>
      </c>
      <c r="K14" s="925"/>
      <c r="L14" s="925"/>
      <c r="M14" s="925">
        <v>400</v>
      </c>
      <c r="N14" s="925">
        <v>0</v>
      </c>
    </row>
    <row r="15" spans="1:14">
      <c r="A15" s="922" t="s">
        <v>405</v>
      </c>
      <c r="B15" s="929">
        <v>5024</v>
      </c>
      <c r="C15" s="926">
        <v>5024</v>
      </c>
      <c r="D15" s="927">
        <v>3687</v>
      </c>
      <c r="E15" s="928">
        <v>5024</v>
      </c>
      <c r="F15" s="937">
        <v>4</v>
      </c>
      <c r="G15" s="939">
        <v>0</v>
      </c>
      <c r="H15" s="925">
        <v>100</v>
      </c>
      <c r="I15" s="935">
        <v>5024</v>
      </c>
      <c r="J15" s="935">
        <v>5024</v>
      </c>
      <c r="K15" s="925"/>
      <c r="L15" s="925"/>
      <c r="M15" s="925">
        <v>0</v>
      </c>
      <c r="N15" s="925">
        <v>100</v>
      </c>
    </row>
    <row r="16" spans="1:14">
      <c r="A16" s="922" t="s">
        <v>406</v>
      </c>
      <c r="B16" s="929">
        <v>5137</v>
      </c>
      <c r="C16" s="926">
        <v>5137</v>
      </c>
      <c r="D16" s="927">
        <v>4031</v>
      </c>
      <c r="E16" s="928">
        <v>5137</v>
      </c>
      <c r="F16" s="937">
        <v>8</v>
      </c>
      <c r="G16" s="939">
        <v>0</v>
      </c>
      <c r="H16" s="925">
        <v>150</v>
      </c>
      <c r="I16" s="935">
        <v>5137</v>
      </c>
      <c r="J16" s="935">
        <v>5137</v>
      </c>
      <c r="K16" s="925"/>
      <c r="L16" s="925"/>
      <c r="M16" s="925">
        <v>0</v>
      </c>
      <c r="N16" s="925">
        <v>150</v>
      </c>
    </row>
    <row r="17" spans="1:14">
      <c r="A17" s="922" t="s">
        <v>440</v>
      </c>
      <c r="B17" s="929">
        <v>3095</v>
      </c>
      <c r="C17" s="926">
        <v>3095</v>
      </c>
      <c r="D17" s="927">
        <v>3095</v>
      </c>
      <c r="E17" s="928">
        <v>3095</v>
      </c>
      <c r="F17" s="937">
        <v>0</v>
      </c>
      <c r="G17" s="939">
        <v>100</v>
      </c>
      <c r="H17" s="925">
        <v>0</v>
      </c>
      <c r="I17" s="935">
        <v>3095</v>
      </c>
      <c r="J17" s="935">
        <v>1457</v>
      </c>
      <c r="K17" s="925"/>
      <c r="L17" s="925"/>
      <c r="M17" s="925">
        <v>100</v>
      </c>
      <c r="N17" s="925">
        <v>0</v>
      </c>
    </row>
    <row r="18" spans="1:14">
      <c r="A18" s="922" t="s">
        <v>431</v>
      </c>
      <c r="B18" s="929">
        <v>13302</v>
      </c>
      <c r="C18" s="926">
        <v>13302</v>
      </c>
      <c r="D18" s="927">
        <v>12960</v>
      </c>
      <c r="E18" s="928">
        <v>13302</v>
      </c>
      <c r="F18" s="937">
        <v>0</v>
      </c>
      <c r="G18" s="939">
        <v>1700</v>
      </c>
      <c r="H18" s="925">
        <v>0</v>
      </c>
      <c r="I18" s="935">
        <v>13302</v>
      </c>
      <c r="J18" s="935">
        <v>5291</v>
      </c>
      <c r="K18" s="925"/>
      <c r="L18" s="925"/>
      <c r="M18" s="925">
        <v>1700</v>
      </c>
      <c r="N18" s="925">
        <v>0</v>
      </c>
    </row>
    <row r="19" spans="1:14">
      <c r="A19" s="922" t="s">
        <v>429</v>
      </c>
      <c r="B19" s="929">
        <v>12495</v>
      </c>
      <c r="C19" s="926">
        <v>12495</v>
      </c>
      <c r="D19" s="927">
        <v>12495</v>
      </c>
      <c r="E19" s="928">
        <v>12495</v>
      </c>
      <c r="F19" s="937">
        <v>0</v>
      </c>
      <c r="G19" s="939">
        <v>0</v>
      </c>
      <c r="H19" s="925">
        <v>0</v>
      </c>
      <c r="I19" s="935">
        <v>12495</v>
      </c>
      <c r="J19" s="935">
        <v>8670</v>
      </c>
      <c r="K19" s="925"/>
      <c r="L19" s="925"/>
      <c r="M19" s="925">
        <v>0</v>
      </c>
      <c r="N19" s="925">
        <v>0</v>
      </c>
    </row>
    <row r="20" spans="1:14">
      <c r="A20" s="922" t="s">
        <v>2273</v>
      </c>
      <c r="B20" s="929">
        <v>2698</v>
      </c>
      <c r="C20" s="926">
        <v>2698</v>
      </c>
      <c r="D20" s="927">
        <v>2698</v>
      </c>
      <c r="E20" s="928">
        <v>2698</v>
      </c>
      <c r="F20" s="937">
        <v>0</v>
      </c>
      <c r="G20" s="939">
        <v>0</v>
      </c>
      <c r="H20" s="925">
        <v>0</v>
      </c>
      <c r="I20" s="935">
        <v>2698</v>
      </c>
      <c r="J20" s="935">
        <v>1982</v>
      </c>
      <c r="K20" s="925"/>
      <c r="L20" s="925"/>
      <c r="M20" s="925">
        <v>0</v>
      </c>
      <c r="N20" s="925">
        <v>0</v>
      </c>
    </row>
    <row r="21" spans="1:14">
      <c r="A21" s="922" t="s">
        <v>438</v>
      </c>
      <c r="B21" s="929">
        <v>11564</v>
      </c>
      <c r="C21" s="926">
        <v>11564</v>
      </c>
      <c r="D21" s="927">
        <v>9871</v>
      </c>
      <c r="E21" s="928">
        <v>11564</v>
      </c>
      <c r="F21" s="937">
        <v>0</v>
      </c>
      <c r="G21" s="939">
        <v>2000</v>
      </c>
      <c r="H21" s="925">
        <v>0</v>
      </c>
      <c r="I21" s="935">
        <v>11564</v>
      </c>
      <c r="J21" s="935">
        <v>5537</v>
      </c>
      <c r="K21" s="925"/>
      <c r="L21" s="925"/>
      <c r="M21" s="925">
        <v>2000</v>
      </c>
      <c r="N21" s="925">
        <v>0</v>
      </c>
    </row>
    <row r="22" spans="1:14">
      <c r="A22" s="922" t="s">
        <v>404</v>
      </c>
      <c r="B22" s="929">
        <v>2861</v>
      </c>
      <c r="C22" s="926">
        <v>2861</v>
      </c>
      <c r="D22" s="927">
        <v>2861</v>
      </c>
      <c r="E22" s="928">
        <v>4693</v>
      </c>
      <c r="F22" s="937">
        <v>0</v>
      </c>
      <c r="G22" s="939">
        <v>0</v>
      </c>
      <c r="H22" s="925">
        <v>0</v>
      </c>
      <c r="I22" s="935">
        <v>2861</v>
      </c>
      <c r="J22" s="935">
        <v>4693</v>
      </c>
      <c r="K22" s="925"/>
      <c r="L22" s="925"/>
      <c r="M22" s="925">
        <v>0</v>
      </c>
      <c r="N22" s="925">
        <v>0</v>
      </c>
    </row>
    <row r="23" spans="1:14">
      <c r="A23" s="922" t="s">
        <v>399</v>
      </c>
      <c r="B23" s="929">
        <v>2920</v>
      </c>
      <c r="C23" s="926">
        <v>1500.0000000000002</v>
      </c>
      <c r="D23" s="927">
        <v>2920</v>
      </c>
      <c r="E23" s="928">
        <v>0</v>
      </c>
      <c r="F23" s="937">
        <v>0</v>
      </c>
      <c r="G23" s="939">
        <v>200</v>
      </c>
      <c r="H23" s="925">
        <v>50</v>
      </c>
      <c r="I23" s="935">
        <v>0</v>
      </c>
      <c r="J23" s="935">
        <v>0</v>
      </c>
      <c r="K23" s="925"/>
      <c r="L23" s="925"/>
      <c r="M23" s="925">
        <v>200</v>
      </c>
      <c r="N23" s="925">
        <v>50</v>
      </c>
    </row>
    <row r="24" spans="1:14">
      <c r="A24" s="922" t="s">
        <v>421</v>
      </c>
      <c r="B24" s="929">
        <v>6016</v>
      </c>
      <c r="C24" s="926">
        <v>6016</v>
      </c>
      <c r="D24" s="927">
        <v>4440</v>
      </c>
      <c r="E24" s="928">
        <v>6016</v>
      </c>
      <c r="F24" s="937">
        <v>253</v>
      </c>
      <c r="G24" s="939">
        <v>100</v>
      </c>
      <c r="H24" s="925">
        <v>0</v>
      </c>
      <c r="I24" s="935">
        <v>6016</v>
      </c>
      <c r="J24" s="935">
        <v>207</v>
      </c>
      <c r="K24" s="925"/>
      <c r="L24" s="925"/>
      <c r="M24" s="925">
        <v>100</v>
      </c>
      <c r="N24" s="925">
        <v>0</v>
      </c>
    </row>
    <row r="25" spans="1:14">
      <c r="A25" s="922" t="s">
        <v>425</v>
      </c>
      <c r="B25" s="929">
        <v>5950</v>
      </c>
      <c r="C25" s="926">
        <v>5950</v>
      </c>
      <c r="D25" s="927">
        <v>5578</v>
      </c>
      <c r="E25" s="928">
        <v>5950</v>
      </c>
      <c r="F25" s="937">
        <v>0</v>
      </c>
      <c r="G25" s="939">
        <v>1050</v>
      </c>
      <c r="H25" s="925">
        <v>0</v>
      </c>
      <c r="I25" s="935">
        <v>5950</v>
      </c>
      <c r="J25" s="935">
        <v>1791</v>
      </c>
      <c r="K25" s="925"/>
      <c r="L25" s="925"/>
      <c r="M25" s="925">
        <v>1050</v>
      </c>
      <c r="N25" s="925">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D76329-BD9D-4A97-82CE-C1710EDD4DDB}">
  <ds:schemaRefs>
    <ds:schemaRef ds:uri="http://schemas.microsoft.com/sharepoint/v3/contenttype/forms"/>
  </ds:schemaRefs>
</ds:datastoreItem>
</file>

<file path=customXml/itemProps3.xml><?xml version="1.0" encoding="utf-8"?>
<ds:datastoreItem xmlns:ds="http://schemas.openxmlformats.org/officeDocument/2006/customXml" ds:itemID="{5C861788-ED93-4B7C-8F10-174B4335B2A6}">
  <ds:schemaRefs>
    <ds:schemaRef ds:uri="http://purl.org/dc/terms/"/>
    <ds:schemaRef ds:uri="c1e8bc90-1dd2-4fc1-b7db-01d315126b7d"/>
    <ds:schemaRef ds:uri="http://www.w3.org/XML/1998/namespace"/>
    <ds:schemaRef ds:uri="http://purl.org/dc/elements/1.1/"/>
    <ds:schemaRef ds:uri="http://schemas.microsoft.com/office/2006/documentManagement/types"/>
    <ds:schemaRef ds:uri="55745663-ec1a-49f5-8757-f8c4d8910d9c"/>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Guide</vt:lpstr>
      <vt:lpstr>partner</vt:lpstr>
      <vt:lpstr>DATABASE</vt:lpstr>
      <vt:lpstr>Site_DB</vt:lpstr>
      <vt:lpstr>HRP Calculations</vt:lpstr>
      <vt:lpstr>Indicator Summary  Eng</vt:lpstr>
      <vt:lpstr>Indicator Summary  MM</vt:lpstr>
      <vt:lpstr>HRP</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2022-08-03T11:05:16Z</cp:lastPrinted>
  <dcterms:created xsi:type="dcterms:W3CDTF">2016-05-30T15:30:45Z</dcterms:created>
  <dcterms:modified xsi:type="dcterms:W3CDTF">2022-08-24T04:44:52Z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