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36.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tables/table3.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xml" ContentType="application/vnd.openxmlformats-officedocument.themeOverrid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37.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38.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2_Q1\"/>
    </mc:Choice>
  </mc:AlternateContent>
  <xr:revisionPtr revIDLastSave="0" documentId="13_ncr:1_{F407FF1F-09C6-47D6-8043-CB6ACFE487DD}" xr6:coauthVersionLast="46" xr6:coauthVersionMax="46" xr10:uidLastSave="{00000000-0000-0000-0000-000000000000}"/>
  <bookViews>
    <workbookView xWindow="-110" yWindow="-110" windowWidth="19420" windowHeight="10420" tabRatio="845" firstSheet="2" activeTab="7" xr2:uid="{00000000-000D-0000-FFFF-FFFF00000000}"/>
  </bookViews>
  <sheets>
    <sheet name="Guide" sheetId="81" r:id="rId1"/>
    <sheet name="Sheet1" sheetId="127" state="hidden" r:id="rId2"/>
    <sheet name="DATABASE" sheetId="25" r:id="rId3"/>
    <sheet name="Site_DB" sheetId="91" r:id="rId4"/>
    <sheet name="HRP Calculations" sheetId="125" r:id="rId5"/>
    <sheet name="Indicator Summary  Eng" sheetId="129" r:id="rId6"/>
    <sheet name="Indicator Summary  MM" sheetId="120" state="hidden" r:id="rId7"/>
    <sheet name="HRP" sheetId="89" r:id="rId8"/>
    <sheet name="HRP_ref" sheetId="128" state="hidden" r:id="rId9"/>
    <sheet name="Sheet2" sheetId="130" state="hidden" r:id="rId10"/>
    <sheet name="Analysis" sheetId="92" r:id="rId11"/>
    <sheet name="Quarterly Dashboard" sheetId="100" r:id="rId12"/>
    <sheet name="Rakhine" sheetId="112" r:id="rId13"/>
    <sheet name="AAP-community Feedback" sheetId="123" state="hidden" r:id="rId14"/>
    <sheet name="By Camps" sheetId="102" r:id="rId15"/>
    <sheet name="Tracking Dashboard" sheetId="114" r:id="rId16"/>
    <sheet name="Lookup" sheetId="32" r:id="rId17"/>
  </sheets>
  <externalReferences>
    <externalReference r:id="rId18"/>
    <externalReference r:id="rId19"/>
    <externalReference r:id="rId20"/>
    <externalReference r:id="rId21"/>
    <externalReference r:id="rId22"/>
  </externalReferences>
  <definedNames>
    <definedName name="_Fill" localSheetId="14" hidden="1">#REF!</definedName>
    <definedName name="_Fill" localSheetId="4" hidden="1">#REF!</definedName>
    <definedName name="_Fill" localSheetId="5" hidden="1">#REF!</definedName>
    <definedName name="_Fill" localSheetId="12" hidden="1">#REF!</definedName>
    <definedName name="_Fill" hidden="1">#REF!</definedName>
    <definedName name="_xlnm._FilterDatabase" localSheetId="2" hidden="1">DATABASE!#REF!</definedName>
    <definedName name="_xlnm._FilterDatabase" localSheetId="5" hidden="1">'Indicator Summary  Eng'!$B$2:$F$52</definedName>
    <definedName name="_xlnm._FilterDatabase" localSheetId="16" hidden="1">Lookup!$A$3:$AA$457</definedName>
    <definedName name="_Key1" localSheetId="14" hidden="1">[1]Data!#REF!</definedName>
    <definedName name="_Key1" localSheetId="4" hidden="1">[1]Data!#REF!</definedName>
    <definedName name="_Key1" localSheetId="5" hidden="1">[1]Data!#REF!</definedName>
    <definedName name="_Key1" localSheetId="12"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4" hidden="1">#REF!</definedName>
    <definedName name="a" localSheetId="5" hidden="1">#REF!</definedName>
    <definedName name="a" hidden="1">#REF!</definedName>
    <definedName name="b">[2]!SiteDB6[[#Headers],[Township]]</definedName>
    <definedName name="_xlnm.Print_Area" localSheetId="4">'HRP Calculations'!$A$1:$F$11</definedName>
    <definedName name="_xlnm.Print_Area" localSheetId="5">'Indicator Summary  Eng'!$A$1:$F$59</definedName>
    <definedName name="_xlnm.Print_Area" localSheetId="6">'Indicator Summary  MM'!$A$2:$F$70</definedName>
    <definedName name="_xlnm.Print_Area" localSheetId="12">Rakhine!$A$1:$T$114</definedName>
    <definedName name="_xlnm.Print_Titles" localSheetId="5">'Indicator Summary  Eng'!$1:$2</definedName>
    <definedName name="_xlnm.Print_Titles" localSheetId="6">'Indicator Summary  MM'!$1:$2</definedName>
    <definedName name="Sasha" localSheetId="4" hidden="1">{#N/A,#N/A,FALSE,"Truck Rent"}</definedName>
    <definedName name="Sasha" localSheetId="5"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5">[3]Lookup!$AB$4:$AB$83</definedName>
    <definedName name="State_list">Lookup!$AB$4:$AB$83</definedName>
    <definedName name="Statestart_1" localSheetId="5">[3]Lookup!$AB$3</definedName>
    <definedName name="Statestart_1">Lookup!$AB$3</definedName>
    <definedName name="Township_list" localSheetId="5">[3]!SiteDB6[Township]</definedName>
    <definedName name="Township_list">SiteDB6[Township]</definedName>
    <definedName name="Township_start" localSheetId="5">[3]!SiteDB6[[#Headers],[Township]]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91029"/>
  <pivotCaches>
    <pivotCache cacheId="67" r:id="rId23"/>
    <pivotCache cacheId="68" r:id="rId24"/>
    <pivotCache cacheId="69"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7" i="89" l="1"/>
  <c r="BO7" i="25" l="1"/>
  <c r="BO8" i="25"/>
  <c r="BO9" i="25"/>
  <c r="BO10" i="25"/>
  <c r="BO11" i="25"/>
  <c r="BO12" i="25"/>
  <c r="BO13" i="25"/>
  <c r="BO14" i="25"/>
  <c r="BO15" i="25"/>
  <c r="BO16" i="25"/>
  <c r="BO17" i="25"/>
  <c r="BO18" i="25"/>
  <c r="BO19" i="25"/>
  <c r="BO20" i="25"/>
  <c r="BO21" i="25"/>
  <c r="BO22" i="25"/>
  <c r="BO23" i="25"/>
  <c r="BO24" i="25"/>
  <c r="BO25" i="25"/>
  <c r="BO26" i="25"/>
  <c r="BO27" i="25"/>
  <c r="N17" i="89" l="1"/>
  <c r="Q34" i="89" l="1"/>
  <c r="Q35" i="89"/>
  <c r="Q36" i="89"/>
  <c r="Q37" i="89"/>
  <c r="N2" i="128"/>
  <c r="O2" i="89" s="1"/>
  <c r="K2" i="128"/>
  <c r="L2" i="89" s="1"/>
  <c r="L2" i="128"/>
  <c r="M2" i="89" s="1"/>
  <c r="M2" i="128"/>
  <c r="N2" i="89" s="1"/>
  <c r="K22" i="25"/>
  <c r="K16" i="25"/>
  <c r="K26" i="25"/>
  <c r="K23" i="25"/>
  <c r="K15" i="25"/>
  <c r="K14" i="25"/>
  <c r="K21" i="25"/>
  <c r="K20" i="25"/>
  <c r="K8" i="25"/>
  <c r="K7" i="25"/>
  <c r="K25" i="25"/>
  <c r="K24" i="25"/>
  <c r="K19" i="25"/>
  <c r="CF19" i="25" s="1"/>
  <c r="K13" i="25"/>
  <c r="K12" i="25"/>
  <c r="K11" i="25"/>
  <c r="BL7" i="25"/>
  <c r="BL11" i="25"/>
  <c r="BL12" i="25"/>
  <c r="BL8" i="25"/>
  <c r="BL20" i="25"/>
  <c r="BL21" i="25"/>
  <c r="BL13" i="25"/>
  <c r="BL19" i="25"/>
  <c r="BL24" i="25"/>
  <c r="BL25" i="25"/>
  <c r="BM7" i="25"/>
  <c r="BM11" i="25"/>
  <c r="BM12" i="25"/>
  <c r="BM8" i="25"/>
  <c r="BM20" i="25"/>
  <c r="BM21" i="25"/>
  <c r="BM13" i="25"/>
  <c r="BM19" i="25"/>
  <c r="BM24" i="25"/>
  <c r="BM25" i="25"/>
  <c r="BP7" i="25"/>
  <c r="BQ7" i="25" s="1"/>
  <c r="BP11" i="25"/>
  <c r="BQ11" i="25" s="1"/>
  <c r="BP12" i="25"/>
  <c r="BQ12" i="25" s="1"/>
  <c r="BP8" i="25"/>
  <c r="BQ8" i="25" s="1"/>
  <c r="BP20" i="25"/>
  <c r="BQ20" i="25" s="1"/>
  <c r="BP21" i="25"/>
  <c r="BQ21" i="25" s="1"/>
  <c r="BP13" i="25"/>
  <c r="BQ13" i="25" s="1"/>
  <c r="BP19" i="25"/>
  <c r="BQ19" i="25" s="1"/>
  <c r="BP24" i="25"/>
  <c r="BQ24" i="25" s="1"/>
  <c r="BR25" i="25"/>
  <c r="BS25" i="25" s="1"/>
  <c r="BT7" i="25"/>
  <c r="BT11" i="25"/>
  <c r="BT12" i="25"/>
  <c r="BT8" i="25"/>
  <c r="BT20" i="25"/>
  <c r="BT21" i="25"/>
  <c r="BT13" i="25"/>
  <c r="BT19" i="25"/>
  <c r="BT24" i="25"/>
  <c r="BT25" i="25"/>
  <c r="BW7" i="25"/>
  <c r="BV7" i="25" s="1"/>
  <c r="CC7" i="25" s="1"/>
  <c r="BW11" i="25"/>
  <c r="BV11" i="25" s="1"/>
  <c r="CC11" i="25" s="1"/>
  <c r="BW12" i="25"/>
  <c r="BV12" i="25" s="1"/>
  <c r="CC12" i="25" s="1"/>
  <c r="BW8" i="25"/>
  <c r="BV8" i="25" s="1"/>
  <c r="CC8" i="25" s="1"/>
  <c r="BW20" i="25"/>
  <c r="BV20" i="25" s="1"/>
  <c r="CC20" i="25" s="1"/>
  <c r="BW21" i="25"/>
  <c r="BV21" i="25" s="1"/>
  <c r="CC21" i="25" s="1"/>
  <c r="BW13" i="25"/>
  <c r="BV13" i="25" s="1"/>
  <c r="CC13" i="25" s="1"/>
  <c r="BW19" i="25"/>
  <c r="BV19" i="25" s="1"/>
  <c r="CC19" i="25" s="1"/>
  <c r="BW24" i="25"/>
  <c r="BV24" i="25" s="1"/>
  <c r="CC24" i="25" s="1"/>
  <c r="BW25" i="25"/>
  <c r="BV25" i="25" s="1"/>
  <c r="CC25" i="25" s="1"/>
  <c r="BX7" i="25"/>
  <c r="BX11" i="25"/>
  <c r="BX12" i="25"/>
  <c r="BX8" i="25"/>
  <c r="BX20" i="25"/>
  <c r="BX21" i="25"/>
  <c r="BX13" i="25"/>
  <c r="BX19" i="25"/>
  <c r="BX24" i="25"/>
  <c r="BX25" i="25"/>
  <c r="BY7" i="25"/>
  <c r="CQ7" i="25" s="1"/>
  <c r="BY11" i="25"/>
  <c r="CQ11" i="25" s="1"/>
  <c r="BY12" i="25"/>
  <c r="CQ12" i="25" s="1"/>
  <c r="BY8" i="25"/>
  <c r="CQ8" i="25" s="1"/>
  <c r="BY20" i="25"/>
  <c r="CQ20" i="25" s="1"/>
  <c r="BY21" i="25"/>
  <c r="CQ21" i="25" s="1"/>
  <c r="BY13" i="25"/>
  <c r="CQ13" i="25" s="1"/>
  <c r="BY19" i="25"/>
  <c r="CQ19" i="25" s="1"/>
  <c r="BY24" i="25"/>
  <c r="CQ24" i="25" s="1"/>
  <c r="BY25" i="25"/>
  <c r="CQ25" i="25" s="1"/>
  <c r="BZ7" i="25"/>
  <c r="CR7" i="25" s="1"/>
  <c r="BZ11" i="25"/>
  <c r="CR11" i="25" s="1"/>
  <c r="BZ12" i="25"/>
  <c r="CR12" i="25" s="1"/>
  <c r="BZ8" i="25"/>
  <c r="CR8" i="25" s="1"/>
  <c r="BZ20" i="25"/>
  <c r="CR20" i="25" s="1"/>
  <c r="BZ21" i="25"/>
  <c r="CR21" i="25" s="1"/>
  <c r="BZ13" i="25"/>
  <c r="CR13" i="25" s="1"/>
  <c r="BZ19" i="25"/>
  <c r="CR19" i="25" s="1"/>
  <c r="BZ24" i="25"/>
  <c r="CR24" i="25" s="1"/>
  <c r="BZ25" i="25"/>
  <c r="CR25" i="25" s="1"/>
  <c r="CD7" i="25"/>
  <c r="CD11" i="25"/>
  <c r="CD12" i="25"/>
  <c r="CD8" i="25"/>
  <c r="CD20" i="25"/>
  <c r="CD21" i="25"/>
  <c r="CD13" i="25"/>
  <c r="CD19" i="25"/>
  <c r="CD24" i="25"/>
  <c r="CD25" i="25"/>
  <c r="CE7" i="25"/>
  <c r="CL7" i="25" s="1"/>
  <c r="CE11" i="25"/>
  <c r="CL11" i="25" s="1"/>
  <c r="CE12" i="25"/>
  <c r="CL12" i="25" s="1"/>
  <c r="CE8" i="25"/>
  <c r="CL8" i="25" s="1"/>
  <c r="CE20" i="25"/>
  <c r="CL20" i="25" s="1"/>
  <c r="CE21" i="25"/>
  <c r="CL21" i="25" s="1"/>
  <c r="CE13" i="25"/>
  <c r="CL13" i="25" s="1"/>
  <c r="CE19" i="25"/>
  <c r="CL19" i="25" s="1"/>
  <c r="CE24" i="25"/>
  <c r="CL24" i="25" s="1"/>
  <c r="CE25" i="25"/>
  <c r="CL25" i="25" s="1"/>
  <c r="CF7" i="25"/>
  <c r="CF11" i="25"/>
  <c r="CF12" i="25"/>
  <c r="CF8" i="25"/>
  <c r="CF20" i="25"/>
  <c r="CF21" i="25"/>
  <c r="CF13" i="25"/>
  <c r="CF24" i="25"/>
  <c r="CF25" i="25"/>
  <c r="CG7" i="25"/>
  <c r="CG11" i="25"/>
  <c r="CG12" i="25"/>
  <c r="CG8" i="25"/>
  <c r="CG20" i="25"/>
  <c r="CG21" i="25"/>
  <c r="CG13" i="25"/>
  <c r="CG19" i="25"/>
  <c r="CG24" i="25"/>
  <c r="CG25" i="25"/>
  <c r="CM7" i="25"/>
  <c r="CM11" i="25"/>
  <c r="CM12" i="25"/>
  <c r="CM8" i="25"/>
  <c r="CM20" i="25"/>
  <c r="CM21" i="25"/>
  <c r="CM13" i="25"/>
  <c r="CM19" i="25"/>
  <c r="CM24" i="25"/>
  <c r="CM25" i="25"/>
  <c r="CN7" i="25"/>
  <c r="CN11" i="25"/>
  <c r="CN12" i="25"/>
  <c r="CN8" i="25"/>
  <c r="CN20" i="25"/>
  <c r="CN21" i="25"/>
  <c r="CN13" i="25"/>
  <c r="CN19" i="25"/>
  <c r="CN24" i="25"/>
  <c r="CN25" i="25"/>
  <c r="CO7" i="25"/>
  <c r="CO11" i="25"/>
  <c r="CO12" i="25"/>
  <c r="CO8" i="25"/>
  <c r="CO20" i="25"/>
  <c r="CO21" i="25"/>
  <c r="CO13" i="25"/>
  <c r="CO19" i="25"/>
  <c r="CO24" i="25"/>
  <c r="CO25" i="25"/>
  <c r="CP7" i="25"/>
  <c r="CP11" i="25"/>
  <c r="CP12" i="25"/>
  <c r="CP8" i="25"/>
  <c r="CP20" i="25"/>
  <c r="CP21" i="25"/>
  <c r="CP13" i="25"/>
  <c r="CP19" i="25"/>
  <c r="CP24" i="25"/>
  <c r="CP25" i="25"/>
  <c r="CS7" i="25"/>
  <c r="CS11" i="25"/>
  <c r="CS12" i="25"/>
  <c r="CS8" i="25"/>
  <c r="CS20" i="25"/>
  <c r="CS21" i="25"/>
  <c r="CS13" i="25"/>
  <c r="CS19" i="25"/>
  <c r="CS24" i="25"/>
  <c r="CS25" i="25"/>
  <c r="CT7" i="25"/>
  <c r="CT11" i="25"/>
  <c r="CT12" i="25"/>
  <c r="CT8" i="25"/>
  <c r="CT20" i="25"/>
  <c r="CT21" i="25"/>
  <c r="CT13" i="25"/>
  <c r="CT19" i="25"/>
  <c r="CT24" i="25"/>
  <c r="CT25" i="25"/>
  <c r="CU7" i="25"/>
  <c r="CA7" i="25" s="1"/>
  <c r="CB7" i="25" s="1"/>
  <c r="CU11" i="25"/>
  <c r="CA11" i="25" s="1"/>
  <c r="CB11" i="25" s="1"/>
  <c r="CU12" i="25"/>
  <c r="CA12" i="25" s="1"/>
  <c r="CB12" i="25" s="1"/>
  <c r="CU8" i="25"/>
  <c r="CA8" i="25" s="1"/>
  <c r="CB8" i="25" s="1"/>
  <c r="CU20" i="25"/>
  <c r="CA20" i="25" s="1"/>
  <c r="CB20" i="25" s="1"/>
  <c r="CU21" i="25"/>
  <c r="CA21" i="25" s="1"/>
  <c r="CB21" i="25" s="1"/>
  <c r="CU13" i="25"/>
  <c r="CA13" i="25" s="1"/>
  <c r="CB13" i="25" s="1"/>
  <c r="CU19" i="25"/>
  <c r="CA19" i="25" s="1"/>
  <c r="CB19" i="25" s="1"/>
  <c r="CU24" i="25"/>
  <c r="CA24" i="25" s="1"/>
  <c r="CB24" i="25" s="1"/>
  <c r="CU25" i="25"/>
  <c r="CA25" i="25" s="1"/>
  <c r="CB25" i="25" s="1"/>
  <c r="CV7" i="25"/>
  <c r="CV11" i="25"/>
  <c r="CV12" i="25"/>
  <c r="CV8" i="25"/>
  <c r="CV20" i="25"/>
  <c r="CV21" i="25"/>
  <c r="CV13" i="25"/>
  <c r="CV19" i="25"/>
  <c r="CV24" i="25"/>
  <c r="CV25" i="25"/>
  <c r="CW7" i="25"/>
  <c r="CW11" i="25"/>
  <c r="CW12" i="25"/>
  <c r="CW8" i="25"/>
  <c r="CW20" i="25"/>
  <c r="CW21" i="25"/>
  <c r="CW13" i="25"/>
  <c r="CW19" i="25"/>
  <c r="CW24" i="25"/>
  <c r="CW25" i="25"/>
  <c r="CX7" i="25"/>
  <c r="CX11" i="25"/>
  <c r="CX12" i="25"/>
  <c r="CX8" i="25"/>
  <c r="CX20" i="25"/>
  <c r="CX21" i="25"/>
  <c r="CX13" i="25"/>
  <c r="CX19" i="25"/>
  <c r="CX24" i="25"/>
  <c r="CX25" i="25"/>
  <c r="CY7" i="25"/>
  <c r="CY11" i="25"/>
  <c r="CY12" i="25"/>
  <c r="CY8" i="25"/>
  <c r="CY20" i="25"/>
  <c r="CY21" i="25"/>
  <c r="CY13" i="25"/>
  <c r="CY19" i="25"/>
  <c r="CY24" i="25"/>
  <c r="CY25" i="25"/>
  <c r="CZ7" i="25"/>
  <c r="CZ11" i="25"/>
  <c r="CZ12" i="25"/>
  <c r="CZ8" i="25"/>
  <c r="CZ20" i="25"/>
  <c r="CZ21" i="25"/>
  <c r="CZ13" i="25"/>
  <c r="CZ19" i="25"/>
  <c r="CZ24" i="25"/>
  <c r="CZ25" i="25"/>
  <c r="DA7" i="25"/>
  <c r="DA11" i="25"/>
  <c r="DA12" i="25"/>
  <c r="DA8" i="25"/>
  <c r="DA20" i="25"/>
  <c r="DA21" i="25"/>
  <c r="DA13" i="25"/>
  <c r="DA19" i="25"/>
  <c r="DA24" i="25"/>
  <c r="DA25" i="25"/>
  <c r="DD7" i="25"/>
  <c r="DD11" i="25"/>
  <c r="DD12" i="25"/>
  <c r="DD8" i="25"/>
  <c r="DD20" i="25"/>
  <c r="DD21" i="25"/>
  <c r="DD13" i="25"/>
  <c r="DD19" i="25"/>
  <c r="DD24" i="25"/>
  <c r="DD25" i="25"/>
  <c r="DI7" i="25"/>
  <c r="DI11" i="25"/>
  <c r="DI12" i="25"/>
  <c r="DI8" i="25"/>
  <c r="DI20" i="25"/>
  <c r="DI21" i="25"/>
  <c r="DI13" i="25"/>
  <c r="DI19" i="25"/>
  <c r="DI24" i="25"/>
  <c r="DI25" i="25"/>
  <c r="DJ7" i="25"/>
  <c r="DJ11" i="25"/>
  <c r="DJ12" i="25"/>
  <c r="DJ8" i="25"/>
  <c r="DJ20" i="25"/>
  <c r="DJ21" i="25"/>
  <c r="DJ13" i="25"/>
  <c r="DJ19" i="25"/>
  <c r="DJ24" i="25"/>
  <c r="DJ25" i="25"/>
  <c r="BN12" i="25" l="1"/>
  <c r="BR13" i="25"/>
  <c r="BS13" i="25" s="1"/>
  <c r="BN24" i="25"/>
  <c r="BN20" i="25"/>
  <c r="CH25" i="25"/>
  <c r="CI25" i="25" s="1"/>
  <c r="CJ25" i="25" s="1"/>
  <c r="CK25" i="25" s="1"/>
  <c r="BU11" i="25"/>
  <c r="CH19" i="25"/>
  <c r="CI19" i="25" s="1"/>
  <c r="CJ19" i="25" s="1"/>
  <c r="CK19" i="25" s="1"/>
  <c r="BR19" i="25"/>
  <c r="BS19" i="25" s="1"/>
  <c r="BR8" i="25"/>
  <c r="BS8" i="25" s="1"/>
  <c r="BN13" i="25"/>
  <c r="BN11" i="25"/>
  <c r="BN21" i="25"/>
  <c r="CH8" i="25"/>
  <c r="CI8" i="25" s="1"/>
  <c r="CJ8" i="25" s="1"/>
  <c r="CK8" i="25" s="1"/>
  <c r="BN7" i="25"/>
  <c r="BN25" i="25"/>
  <c r="BN8" i="25"/>
  <c r="CH21" i="25"/>
  <c r="CI21" i="25" s="1"/>
  <c r="CJ21" i="25" s="1"/>
  <c r="CK21" i="25" s="1"/>
  <c r="BN19" i="25"/>
  <c r="BU20" i="25"/>
  <c r="BR24" i="25"/>
  <c r="BS24" i="25" s="1"/>
  <c r="BU13" i="25"/>
  <c r="BR11" i="25"/>
  <c r="BS11" i="25" s="1"/>
  <c r="BR20" i="25"/>
  <c r="BS20" i="25" s="1"/>
  <c r="BR12" i="25"/>
  <c r="BS12" i="25" s="1"/>
  <c r="BU12" i="25"/>
  <c r="BU19" i="25"/>
  <c r="BP25" i="25"/>
  <c r="BQ25" i="25" s="1"/>
  <c r="BU25" i="25" s="1"/>
  <c r="BU24" i="25"/>
  <c r="BR21" i="25"/>
  <c r="BS21" i="25" s="1"/>
  <c r="CH24" i="25"/>
  <c r="CI24" i="25" s="1"/>
  <c r="CJ24" i="25" s="1"/>
  <c r="CK24" i="25" s="1"/>
  <c r="CH20" i="25"/>
  <c r="CI20" i="25" s="1"/>
  <c r="CJ20" i="25" s="1"/>
  <c r="CK20" i="25" s="1"/>
  <c r="CH11" i="25"/>
  <c r="CI11" i="25" s="1"/>
  <c r="CJ11" i="25" s="1"/>
  <c r="CK11" i="25" s="1"/>
  <c r="CH7" i="25"/>
  <c r="CI7" i="25" s="1"/>
  <c r="CJ7" i="25" s="1"/>
  <c r="CK7" i="25" s="1"/>
  <c r="CH13" i="25"/>
  <c r="CI13" i="25" s="1"/>
  <c r="CJ13" i="25" s="1"/>
  <c r="CK13" i="25" s="1"/>
  <c r="CH12" i="25"/>
  <c r="CI12" i="25" s="1"/>
  <c r="CJ12" i="25" s="1"/>
  <c r="CK12" i="25" s="1"/>
  <c r="BU7" i="25"/>
  <c r="BU8" i="25"/>
  <c r="BU21" i="25"/>
  <c r="BR7" i="25"/>
  <c r="BS7" i="25" s="1"/>
  <c r="DC17" i="25" l="1"/>
  <c r="DB17" i="25"/>
  <c r="DC27" i="25"/>
  <c r="DB27" i="25"/>
  <c r="DC10" i="25"/>
  <c r="DB10" i="25"/>
  <c r="DC22" i="25"/>
  <c r="DB22" i="25"/>
  <c r="DC26" i="25"/>
  <c r="DB26" i="25"/>
  <c r="DC23" i="25"/>
  <c r="DB23" i="25"/>
  <c r="DC15" i="25"/>
  <c r="DB15" i="25"/>
  <c r="DC18" i="25"/>
  <c r="DB18" i="25"/>
  <c r="DC14" i="25"/>
  <c r="DB14" i="25"/>
  <c r="DC16" i="25"/>
  <c r="DB16" i="25"/>
  <c r="DC9" i="25"/>
  <c r="DB9" i="25"/>
  <c r="CG27" i="25"/>
  <c r="CG14" i="25"/>
  <c r="K9" i="25"/>
  <c r="CF9" i="25" s="1"/>
  <c r="K27" i="25"/>
  <c r="K18" i="25"/>
  <c r="K10" i="25"/>
  <c r="K17" i="25"/>
  <c r="BL9" i="25"/>
  <c r="BL15" i="25"/>
  <c r="BL26" i="25"/>
  <c r="BL16" i="25"/>
  <c r="BL27" i="25"/>
  <c r="BL18" i="25"/>
  <c r="BL14" i="25"/>
  <c r="BL23" i="25"/>
  <c r="BL10" i="25"/>
  <c r="BL22" i="25"/>
  <c r="BL17" i="25"/>
  <c r="BM9" i="25"/>
  <c r="BM15" i="25"/>
  <c r="BM26" i="25"/>
  <c r="BM16" i="25"/>
  <c r="BM27" i="25"/>
  <c r="BM18" i="25"/>
  <c r="BM14" i="25"/>
  <c r="BM23" i="25"/>
  <c r="BM10" i="25"/>
  <c r="BM22" i="25"/>
  <c r="BM17" i="25"/>
  <c r="BR9" i="25"/>
  <c r="BS9" i="25" s="1"/>
  <c r="BP15" i="25"/>
  <c r="BQ15" i="25" s="1"/>
  <c r="BP26" i="25"/>
  <c r="BQ26" i="25" s="1"/>
  <c r="BP16" i="25"/>
  <c r="BQ16" i="25" s="1"/>
  <c r="BP27" i="25"/>
  <c r="BQ27" i="25" s="1"/>
  <c r="BP18" i="25"/>
  <c r="BQ18" i="25" s="1"/>
  <c r="BP14" i="25"/>
  <c r="BQ14" i="25" s="1"/>
  <c r="BP23" i="25"/>
  <c r="BQ23" i="25" s="1"/>
  <c r="BR10" i="25"/>
  <c r="BS10" i="25" s="1"/>
  <c r="BR22" i="25"/>
  <c r="BS22" i="25" s="1"/>
  <c r="BR17" i="25"/>
  <c r="BS17" i="25" s="1"/>
  <c r="BT9" i="25"/>
  <c r="BT15" i="25"/>
  <c r="BT26" i="25"/>
  <c r="BT16" i="25"/>
  <c r="BT27" i="25"/>
  <c r="BT18" i="25"/>
  <c r="BT14" i="25"/>
  <c r="BT23" i="25"/>
  <c r="BT10" i="25"/>
  <c r="BT22" i="25"/>
  <c r="BT17" i="25"/>
  <c r="BW9" i="25"/>
  <c r="BV9" i="25" s="1"/>
  <c r="CC9" i="25" s="1"/>
  <c r="BW15" i="25"/>
  <c r="BV15" i="25" s="1"/>
  <c r="CC15" i="25" s="1"/>
  <c r="BW26" i="25"/>
  <c r="BV26" i="25" s="1"/>
  <c r="CC26" i="25" s="1"/>
  <c r="BW16" i="25"/>
  <c r="BV16" i="25" s="1"/>
  <c r="CC16" i="25" s="1"/>
  <c r="BW27" i="25"/>
  <c r="BV27" i="25" s="1"/>
  <c r="CC27" i="25" s="1"/>
  <c r="BW18" i="25"/>
  <c r="BV18" i="25" s="1"/>
  <c r="CC18" i="25" s="1"/>
  <c r="BW14" i="25"/>
  <c r="BV14" i="25" s="1"/>
  <c r="CC14" i="25" s="1"/>
  <c r="BW23" i="25"/>
  <c r="BV23" i="25" s="1"/>
  <c r="CC23" i="25" s="1"/>
  <c r="BW10" i="25"/>
  <c r="BV10" i="25" s="1"/>
  <c r="CC10" i="25" s="1"/>
  <c r="BW22" i="25"/>
  <c r="BV22" i="25" s="1"/>
  <c r="CC22" i="25" s="1"/>
  <c r="BW17" i="25"/>
  <c r="BV17" i="25" s="1"/>
  <c r="CC17" i="25" s="1"/>
  <c r="BX9" i="25"/>
  <c r="BX15" i="25"/>
  <c r="BX26" i="25"/>
  <c r="BX16" i="25"/>
  <c r="BX27" i="25"/>
  <c r="BX18" i="25"/>
  <c r="BX14" i="25"/>
  <c r="BX23" i="25"/>
  <c r="BX10" i="25"/>
  <c r="BX22" i="25"/>
  <c r="BX17" i="25"/>
  <c r="BY9" i="25"/>
  <c r="CQ9" i="25" s="1"/>
  <c r="BY15" i="25"/>
  <c r="CQ15" i="25" s="1"/>
  <c r="BY26" i="25"/>
  <c r="CQ26" i="25" s="1"/>
  <c r="BY16" i="25"/>
  <c r="CQ16" i="25" s="1"/>
  <c r="BY27" i="25"/>
  <c r="CQ27" i="25" s="1"/>
  <c r="BY18" i="25"/>
  <c r="CQ18" i="25" s="1"/>
  <c r="BY14" i="25"/>
  <c r="CQ14" i="25" s="1"/>
  <c r="BY23" i="25"/>
  <c r="CQ23" i="25" s="1"/>
  <c r="BY10" i="25"/>
  <c r="CQ10" i="25" s="1"/>
  <c r="BY22" i="25"/>
  <c r="CQ22" i="25" s="1"/>
  <c r="BY17" i="25"/>
  <c r="CQ17" i="25" s="1"/>
  <c r="BZ9" i="25"/>
  <c r="CR9" i="25" s="1"/>
  <c r="BZ15" i="25"/>
  <c r="CR15" i="25" s="1"/>
  <c r="BZ26" i="25"/>
  <c r="CR26" i="25" s="1"/>
  <c r="BZ16" i="25"/>
  <c r="CR16" i="25" s="1"/>
  <c r="BZ27" i="25"/>
  <c r="CR27" i="25" s="1"/>
  <c r="BZ18" i="25"/>
  <c r="CR18" i="25" s="1"/>
  <c r="BZ14" i="25"/>
  <c r="CR14" i="25" s="1"/>
  <c r="BZ23" i="25"/>
  <c r="CR23" i="25" s="1"/>
  <c r="BZ10" i="25"/>
  <c r="CR10" i="25" s="1"/>
  <c r="BZ22" i="25"/>
  <c r="CR22" i="25" s="1"/>
  <c r="BZ17" i="25"/>
  <c r="CR17" i="25" s="1"/>
  <c r="CD9" i="25"/>
  <c r="CD15" i="25"/>
  <c r="CD26" i="25"/>
  <c r="CD16" i="25"/>
  <c r="CD27" i="25"/>
  <c r="CD18" i="25"/>
  <c r="CD14" i="25"/>
  <c r="CD23" i="25"/>
  <c r="CD10" i="25"/>
  <c r="CD22" i="25"/>
  <c r="CD17" i="25"/>
  <c r="CE9" i="25"/>
  <c r="CL9" i="25" s="1"/>
  <c r="CE15" i="25"/>
  <c r="CL15" i="25" s="1"/>
  <c r="CE26" i="25"/>
  <c r="CE16" i="25"/>
  <c r="CL16" i="25" s="1"/>
  <c r="CE27" i="25"/>
  <c r="CL27" i="25" s="1"/>
  <c r="CE18" i="25"/>
  <c r="CL18" i="25" s="1"/>
  <c r="CE14" i="25"/>
  <c r="CL14" i="25" s="1"/>
  <c r="CE23" i="25"/>
  <c r="CL23" i="25" s="1"/>
  <c r="CE10" i="25"/>
  <c r="CL10" i="25" s="1"/>
  <c r="CE22" i="25"/>
  <c r="CL22" i="25" s="1"/>
  <c r="CE17" i="25"/>
  <c r="CL17" i="25" s="1"/>
  <c r="CF15" i="25"/>
  <c r="CF26" i="25"/>
  <c r="CF16" i="25"/>
  <c r="CF27" i="25"/>
  <c r="CF18" i="25"/>
  <c r="CF14" i="25"/>
  <c r="CF23" i="25"/>
  <c r="CF10" i="25"/>
  <c r="CF22" i="25"/>
  <c r="CF17" i="25"/>
  <c r="CG9" i="25"/>
  <c r="CG15" i="25"/>
  <c r="CG26" i="25"/>
  <c r="CG16" i="25"/>
  <c r="CG18" i="25"/>
  <c r="CG23" i="25"/>
  <c r="CG10" i="25"/>
  <c r="CG22" i="25"/>
  <c r="CG17" i="25"/>
  <c r="CM9" i="25"/>
  <c r="CM15" i="25"/>
  <c r="CM26" i="25"/>
  <c r="CM16" i="25"/>
  <c r="CM27" i="25"/>
  <c r="CM18" i="25"/>
  <c r="CM14" i="25"/>
  <c r="CM23" i="25"/>
  <c r="CM10" i="25"/>
  <c r="CM22" i="25"/>
  <c r="CM17" i="25"/>
  <c r="CN9" i="25"/>
  <c r="CN15" i="25"/>
  <c r="CN26" i="25"/>
  <c r="CN16" i="25"/>
  <c r="CN27" i="25"/>
  <c r="CN18" i="25"/>
  <c r="CN14" i="25"/>
  <c r="CN23" i="25"/>
  <c r="CN10" i="25"/>
  <c r="CN22" i="25"/>
  <c r="CN17" i="25"/>
  <c r="CO9" i="25"/>
  <c r="CO15" i="25"/>
  <c r="CO26" i="25"/>
  <c r="CO16" i="25"/>
  <c r="CO27" i="25"/>
  <c r="CO18" i="25"/>
  <c r="CO14" i="25"/>
  <c r="CO23" i="25"/>
  <c r="CO10" i="25"/>
  <c r="CO22" i="25"/>
  <c r="CO17" i="25"/>
  <c r="CP9" i="25"/>
  <c r="CP15" i="25"/>
  <c r="CP26" i="25"/>
  <c r="CP16" i="25"/>
  <c r="CP27" i="25"/>
  <c r="CP18" i="25"/>
  <c r="CP14" i="25"/>
  <c r="CP23" i="25"/>
  <c r="CP10" i="25"/>
  <c r="CP22" i="25"/>
  <c r="CP17" i="25"/>
  <c r="CS9" i="25"/>
  <c r="CS15" i="25"/>
  <c r="CS26" i="25"/>
  <c r="CS16" i="25"/>
  <c r="CS27" i="25"/>
  <c r="CS18" i="25"/>
  <c r="CS14" i="25"/>
  <c r="CS23" i="25"/>
  <c r="CS10" i="25"/>
  <c r="CS22" i="25"/>
  <c r="CS17" i="25"/>
  <c r="CT9" i="25"/>
  <c r="CT15" i="25"/>
  <c r="CT26" i="25"/>
  <c r="CT16" i="25"/>
  <c r="CT27" i="25"/>
  <c r="CT18" i="25"/>
  <c r="CT14" i="25"/>
  <c r="CT23" i="25"/>
  <c r="CT10" i="25"/>
  <c r="CT22" i="25"/>
  <c r="CT17" i="25"/>
  <c r="CU9" i="25"/>
  <c r="CA9" i="25" s="1"/>
  <c r="CB9" i="25" s="1"/>
  <c r="CU15" i="25"/>
  <c r="CA15" i="25" s="1"/>
  <c r="CB15" i="25" s="1"/>
  <c r="CU26" i="25"/>
  <c r="CA26" i="25" s="1"/>
  <c r="CB26" i="25" s="1"/>
  <c r="CU16" i="25"/>
  <c r="CA16" i="25" s="1"/>
  <c r="CB16" i="25" s="1"/>
  <c r="CU27" i="25"/>
  <c r="CA27" i="25" s="1"/>
  <c r="CB27" i="25" s="1"/>
  <c r="CU18" i="25"/>
  <c r="CA18" i="25" s="1"/>
  <c r="CB18" i="25" s="1"/>
  <c r="CU14" i="25"/>
  <c r="CA14" i="25" s="1"/>
  <c r="CB14" i="25" s="1"/>
  <c r="CU23" i="25"/>
  <c r="CA23" i="25" s="1"/>
  <c r="CB23" i="25" s="1"/>
  <c r="CU10" i="25"/>
  <c r="CA10" i="25" s="1"/>
  <c r="CB10" i="25" s="1"/>
  <c r="CU22" i="25"/>
  <c r="CA22" i="25" s="1"/>
  <c r="CB22" i="25" s="1"/>
  <c r="CU17" i="25"/>
  <c r="CA17" i="25" s="1"/>
  <c r="CB17" i="25" s="1"/>
  <c r="CV9" i="25"/>
  <c r="CV15" i="25"/>
  <c r="CV26" i="25"/>
  <c r="CV16" i="25"/>
  <c r="CV27" i="25"/>
  <c r="CV18" i="25"/>
  <c r="CV14" i="25"/>
  <c r="CV23" i="25"/>
  <c r="CV10" i="25"/>
  <c r="CV22" i="25"/>
  <c r="CV17" i="25"/>
  <c r="CW9" i="25"/>
  <c r="CW15" i="25"/>
  <c r="CW26" i="25"/>
  <c r="CW16" i="25"/>
  <c r="CW27" i="25"/>
  <c r="CW18" i="25"/>
  <c r="CW14" i="25"/>
  <c r="CW23" i="25"/>
  <c r="CW10" i="25"/>
  <c r="CW22" i="25"/>
  <c r="CW17" i="25"/>
  <c r="CX9" i="25"/>
  <c r="CX15" i="25"/>
  <c r="CX26" i="25"/>
  <c r="CX16" i="25"/>
  <c r="CX27" i="25"/>
  <c r="CX18" i="25"/>
  <c r="CX14" i="25"/>
  <c r="CX23" i="25"/>
  <c r="CX10" i="25"/>
  <c r="CX22" i="25"/>
  <c r="CX17" i="25"/>
  <c r="CY9" i="25"/>
  <c r="CY15" i="25"/>
  <c r="CY26" i="25"/>
  <c r="CY16" i="25"/>
  <c r="CY27" i="25"/>
  <c r="CY18" i="25"/>
  <c r="CY14" i="25"/>
  <c r="CY23" i="25"/>
  <c r="CY10" i="25"/>
  <c r="CY22" i="25"/>
  <c r="CY17" i="25"/>
  <c r="CZ9" i="25"/>
  <c r="CZ15" i="25"/>
  <c r="CZ26" i="25"/>
  <c r="CZ16" i="25"/>
  <c r="CZ27" i="25"/>
  <c r="CZ18" i="25"/>
  <c r="CZ14" i="25"/>
  <c r="CZ23" i="25"/>
  <c r="CZ10" i="25"/>
  <c r="CZ22" i="25"/>
  <c r="CZ17" i="25"/>
  <c r="DA9" i="25"/>
  <c r="DA15" i="25"/>
  <c r="DA26" i="25"/>
  <c r="DA16" i="25"/>
  <c r="DA27" i="25"/>
  <c r="DA18" i="25"/>
  <c r="DA14" i="25"/>
  <c r="DA23" i="25"/>
  <c r="DA10" i="25"/>
  <c r="DA22" i="25"/>
  <c r="DA17" i="25"/>
  <c r="DI9" i="25"/>
  <c r="DI15" i="25"/>
  <c r="DI26" i="25"/>
  <c r="DI16" i="25"/>
  <c r="DI27" i="25"/>
  <c r="DI18" i="25"/>
  <c r="DI14" i="25"/>
  <c r="DI23" i="25"/>
  <c r="DI10" i="25"/>
  <c r="DI22" i="25"/>
  <c r="DI17" i="25"/>
  <c r="DJ9" i="25"/>
  <c r="DJ15" i="25"/>
  <c r="DJ26" i="25"/>
  <c r="DJ16" i="25"/>
  <c r="DJ27" i="25"/>
  <c r="DJ18" i="25"/>
  <c r="DJ14" i="25"/>
  <c r="DJ23" i="25"/>
  <c r="DJ10" i="25"/>
  <c r="DJ22" i="25"/>
  <c r="DJ17" i="25"/>
  <c r="DD17" i="25" l="1"/>
  <c r="DD23" i="25"/>
  <c r="DD26" i="25"/>
  <c r="DD10" i="25"/>
  <c r="DD15" i="25"/>
  <c r="DD9" i="25"/>
  <c r="DD16" i="25"/>
  <c r="DD27" i="25"/>
  <c r="DD18" i="25"/>
  <c r="DD22" i="25"/>
  <c r="DD14" i="25"/>
  <c r="BU16" i="25"/>
  <c r="BN17" i="25"/>
  <c r="BN9" i="25"/>
  <c r="BR26" i="25"/>
  <c r="BS26" i="25" s="1"/>
  <c r="BN16" i="25"/>
  <c r="BN26" i="25"/>
  <c r="BN22" i="25"/>
  <c r="BN23" i="25"/>
  <c r="BN18" i="25"/>
  <c r="CH26" i="25"/>
  <c r="CI26" i="25" s="1"/>
  <c r="CJ26" i="25" s="1"/>
  <c r="CK26" i="25" s="1"/>
  <c r="BN14" i="25"/>
  <c r="BN27" i="25"/>
  <c r="CH15" i="25"/>
  <c r="CI15" i="25" s="1"/>
  <c r="CJ15" i="25" s="1"/>
  <c r="CK15" i="25" s="1"/>
  <c r="CH23" i="25"/>
  <c r="CI23" i="25" s="1"/>
  <c r="CJ23" i="25" s="1"/>
  <c r="CK23" i="25" s="1"/>
  <c r="CH18" i="25"/>
  <c r="CI18" i="25" s="1"/>
  <c r="CJ18" i="25" s="1"/>
  <c r="CK18" i="25" s="1"/>
  <c r="CH14" i="25"/>
  <c r="CI14" i="25" s="1"/>
  <c r="CJ14" i="25" s="1"/>
  <c r="CK14" i="25" s="1"/>
  <c r="CH27" i="25"/>
  <c r="CI27" i="25" s="1"/>
  <c r="CJ27" i="25" s="1"/>
  <c r="CK27" i="25" s="1"/>
  <c r="BU14" i="25"/>
  <c r="BU27" i="25"/>
  <c r="BP17" i="25"/>
  <c r="BQ17" i="25" s="1"/>
  <c r="BU17" i="25" s="1"/>
  <c r="BP10" i="25"/>
  <c r="BQ10" i="25" s="1"/>
  <c r="BU10" i="25" s="1"/>
  <c r="CH16" i="25"/>
  <c r="CI16" i="25" s="1"/>
  <c r="CJ16" i="25" s="1"/>
  <c r="CK16" i="25" s="1"/>
  <c r="CH22" i="25"/>
  <c r="CI22" i="25" s="1"/>
  <c r="CJ22" i="25" s="1"/>
  <c r="CK22" i="25" s="1"/>
  <c r="CH10" i="25"/>
  <c r="CI10" i="25" s="1"/>
  <c r="CJ10" i="25" s="1"/>
  <c r="CK10" i="25" s="1"/>
  <c r="BP9" i="25"/>
  <c r="BQ9" i="25" s="1"/>
  <c r="BU9" i="25" s="1"/>
  <c r="BU26" i="25"/>
  <c r="BR14" i="25"/>
  <c r="BS14" i="25" s="1"/>
  <c r="BU15" i="25"/>
  <c r="CH17" i="25"/>
  <c r="CI17" i="25" s="1"/>
  <c r="CJ17" i="25" s="1"/>
  <c r="CK17" i="25" s="1"/>
  <c r="CH9" i="25"/>
  <c r="CI9" i="25" s="1"/>
  <c r="CJ9" i="25" s="1"/>
  <c r="CK9" i="25" s="1"/>
  <c r="BN15" i="25"/>
  <c r="BN10" i="25"/>
  <c r="CL26" i="25"/>
  <c r="BR27" i="25"/>
  <c r="BS27" i="25" s="1"/>
  <c r="BU23" i="25"/>
  <c r="BU18" i="25"/>
  <c r="BR23" i="25"/>
  <c r="BS23" i="25" s="1"/>
  <c r="BR18" i="25"/>
  <c r="BS18" i="25" s="1"/>
  <c r="BP22" i="25"/>
  <c r="BQ22" i="25" s="1"/>
  <c r="BU22" i="25" s="1"/>
  <c r="BR16" i="25"/>
  <c r="BS16" i="25" s="1"/>
  <c r="BR15" i="25"/>
  <c r="BS15" i="25" s="1"/>
  <c r="Q39" i="89" l="1"/>
  <c r="Q38" i="89"/>
  <c r="B36" i="92"/>
  <c r="L118" i="92"/>
  <c r="L120" i="92"/>
  <c r="J194" i="92"/>
  <c r="L119" i="92"/>
  <c r="Z47" i="92"/>
  <c r="K119" i="92"/>
  <c r="N110" i="92"/>
  <c r="R112" i="92"/>
  <c r="L121" i="92"/>
  <c r="Q113" i="92"/>
  <c r="N112" i="92"/>
  <c r="K121" i="92"/>
  <c r="K118" i="92"/>
  <c r="G119" i="92"/>
  <c r="K120" i="92"/>
  <c r="Q110" i="92"/>
  <c r="Q111" i="92"/>
  <c r="Q28" i="92"/>
  <c r="Q112" i="92"/>
  <c r="N113" i="92"/>
  <c r="J47" i="92"/>
  <c r="N111" i="92"/>
  <c r="R113" i="92"/>
  <c r="K47" i="92" l="1"/>
  <c r="AA47" i="92"/>
  <c r="M121" i="92"/>
  <c r="M119" i="92"/>
  <c r="M120" i="92"/>
  <c r="M118" i="92"/>
  <c r="P366" i="92"/>
  <c r="P365" i="92"/>
  <c r="S365" i="92" s="1"/>
  <c r="P364" i="92"/>
  <c r="P363" i="92"/>
  <c r="Q29" i="92"/>
  <c r="K194" i="92"/>
  <c r="Q364" i="92" l="1"/>
  <c r="S364" i="92" s="1"/>
  <c r="J2" i="128"/>
  <c r="K2" i="89" s="1"/>
  <c r="G23" i="89" s="1"/>
  <c r="N23" i="89" s="1"/>
  <c r="U23" i="89" l="1"/>
  <c r="S23" i="89"/>
  <c r="R23" i="89"/>
  <c r="Q23" i="89"/>
  <c r="T23" i="89"/>
  <c r="I2" i="128"/>
  <c r="J2" i="89" s="1"/>
  <c r="G24" i="89" s="1"/>
  <c r="N24" i="89" s="1"/>
  <c r="H2" i="128"/>
  <c r="I2" i="89" s="1"/>
  <c r="G22" i="89" s="1"/>
  <c r="G2" i="128"/>
  <c r="H2" i="89" s="1"/>
  <c r="F2" i="128"/>
  <c r="G2" i="89" s="1"/>
  <c r="E2" i="128"/>
  <c r="F2" i="89" s="1"/>
  <c r="D2" i="128"/>
  <c r="E2" i="89" s="1"/>
  <c r="G18" i="89" s="1"/>
  <c r="C2" i="128"/>
  <c r="D2" i="89" s="1"/>
  <c r="Q24" i="89" l="1"/>
  <c r="R24" i="89"/>
  <c r="O24" i="89"/>
  <c r="P24" i="89" s="1"/>
  <c r="S24" i="89"/>
  <c r="V24" i="89"/>
  <c r="U24" i="89"/>
  <c r="T24" i="89"/>
  <c r="N22" i="89"/>
  <c r="R34" i="89" s="1"/>
  <c r="E34" i="89"/>
  <c r="N314" i="92" s="1"/>
  <c r="N18" i="89"/>
  <c r="U18" i="89" s="1"/>
  <c r="E38" i="89"/>
  <c r="G17" i="89"/>
  <c r="E39" i="89" s="1"/>
  <c r="G19" i="89"/>
  <c r="E37" i="89" s="1"/>
  <c r="G20" i="89"/>
  <c r="G21" i="89"/>
  <c r="X47" i="92"/>
  <c r="H47" i="92"/>
  <c r="J190" i="92"/>
  <c r="L47" i="92"/>
  <c r="C140" i="92"/>
  <c r="J195" i="92"/>
  <c r="C74" i="92"/>
  <c r="D74" i="92"/>
  <c r="AB47" i="92"/>
  <c r="J193" i="92"/>
  <c r="Q18" i="89" l="1"/>
  <c r="S18" i="89"/>
  <c r="R18" i="89"/>
  <c r="T18" i="89"/>
  <c r="U22" i="89"/>
  <c r="O22" i="89"/>
  <c r="P22" i="89" s="1"/>
  <c r="Q22" i="89"/>
  <c r="N21" i="89"/>
  <c r="R35" i="89" s="1"/>
  <c r="S35" i="89" s="1"/>
  <c r="E35" i="89"/>
  <c r="V22" i="89"/>
  <c r="N20" i="89"/>
  <c r="R36" i="89" s="1"/>
  <c r="S36" i="89" s="1"/>
  <c r="E36" i="89"/>
  <c r="R22" i="89"/>
  <c r="T22" i="89"/>
  <c r="S22" i="89"/>
  <c r="S21" i="89"/>
  <c r="R21" i="89"/>
  <c r="N19" i="89"/>
  <c r="F37" i="89"/>
  <c r="K190" i="92"/>
  <c r="T21" i="89" l="1"/>
  <c r="F35" i="89"/>
  <c r="S314" i="92"/>
  <c r="T314" i="92" s="1"/>
  <c r="U21" i="89"/>
  <c r="Q20" i="89"/>
  <c r="R20" i="89"/>
  <c r="S20" i="89"/>
  <c r="U20" i="89"/>
  <c r="Q21" i="89"/>
  <c r="T20" i="89"/>
  <c r="T17" i="89"/>
  <c r="S17" i="89"/>
  <c r="U17" i="89"/>
  <c r="R17" i="89"/>
  <c r="Q17" i="89"/>
  <c r="R37" i="89"/>
  <c r="R19" i="89"/>
  <c r="Q19" i="89"/>
  <c r="S19" i="89"/>
  <c r="U19" i="89"/>
  <c r="T19" i="89"/>
  <c r="K193" i="92"/>
  <c r="C363" i="92"/>
  <c r="F100" i="92"/>
  <c r="K195" i="92" l="1"/>
  <c r="F36" i="89" l="1"/>
  <c r="G34" i="89" l="1"/>
  <c r="F34" i="89"/>
  <c r="T35" i="89"/>
  <c r="S34" i="89"/>
  <c r="O314" i="92"/>
  <c r="V21" i="89"/>
  <c r="O21" i="89"/>
  <c r="V20" i="89"/>
  <c r="O20" i="89"/>
  <c r="P20" i="89" s="1"/>
  <c r="P21" i="89" l="1"/>
  <c r="D363" i="92" l="1"/>
  <c r="C341" i="92"/>
  <c r="G118" i="92"/>
  <c r="C227" i="92"/>
  <c r="C360" i="92"/>
  <c r="F136" i="92"/>
  <c r="F240" i="92"/>
  <c r="C361" i="92"/>
  <c r="H240" i="92"/>
  <c r="C226" i="92"/>
  <c r="G240" i="92"/>
  <c r="E237" i="92"/>
  <c r="G117" i="92"/>
  <c r="I240" i="92"/>
  <c r="F103" i="92"/>
  <c r="F237" i="92"/>
  <c r="C362" i="92"/>
  <c r="G136" i="92"/>
  <c r="F101" i="92" l="1"/>
  <c r="H136" i="92"/>
  <c r="H119" i="92"/>
  <c r="H118" i="92"/>
  <c r="H117" i="92"/>
  <c r="D341" i="92"/>
  <c r="E240" i="92"/>
  <c r="G237" i="92"/>
  <c r="D226" i="92"/>
  <c r="D362" i="92"/>
  <c r="D361" i="92"/>
  <c r="D360" i="92"/>
  <c r="D227" i="92"/>
  <c r="F102" i="92"/>
  <c r="S37" i="89" l="1"/>
  <c r="V23" i="89"/>
  <c r="O23" i="89"/>
  <c r="O19" i="89"/>
  <c r="V19" i="89"/>
  <c r="R38" i="89" l="1"/>
  <c r="S38" i="89" s="1"/>
  <c r="R39" i="89"/>
  <c r="S39" i="89" s="1"/>
  <c r="V17" i="89"/>
  <c r="V18" i="89"/>
  <c r="O18" i="89"/>
  <c r="Y47" i="92" l="1"/>
  <c r="I47" i="92"/>
  <c r="P18" i="89" l="1"/>
  <c r="F39" i="89"/>
  <c r="F38" i="89"/>
  <c r="P17" i="89"/>
  <c r="P19" i="89"/>
  <c r="P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6"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36]}"/>
    <s v="{[WWWW].[#_Water samples_Tested_at_HH].&amp;[84]}"/>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<sst xmlns="http://schemas.openxmlformats.org/spreadsheetml/2006/main" count="15321" uniqueCount="3225">
  <si>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</si>
  <si>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</si>
  <si>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</si>
  <si>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</si>
  <si>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</si>
  <si>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</si>
  <si>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</si>
  <si>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</si>
  <si>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</si>
  <si>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</si>
  <si>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</si>
  <si>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</si>
  <si>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</si>
  <si>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</si>
  <si>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</si>
  <si>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</si>
  <si>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</si>
  <si>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</si>
  <si>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</si>
  <si>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</si>
  <si>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</si>
  <si>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</si>
  <si>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</si>
  <si>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</si>
  <si>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</si>
  <si>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</si>
  <si>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</si>
  <si>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</si>
  <si>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</si>
  <si>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</si>
  <si>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</si>
  <si>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</si>
  <si>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</si>
  <si>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</si>
  <si>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</si>
  <si>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</si>
  <si>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</si>
  <si>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</si>
  <si>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</si>
  <si>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</si>
  <si>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</si>
  <si>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</si>
  <si>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</si>
  <si>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</si>
  <si>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</si>
  <si>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</si>
  <si>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</si>
  <si>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</si>
  <si>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</si>
  <si>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</si>
  <si>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</si>
  <si>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</si>
  <si>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</si>
  <si>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</si>
  <si>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</si>
  <si>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</si>
  <si>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</si>
  <si>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</si>
  <si>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</si>
  <si>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</si>
  <si>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</si>
  <si>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</si>
  <si>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</si>
  <si>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</si>
  <si>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</si>
  <si>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</si>
  <si>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</si>
  <si>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</si>
  <si>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</si>
  <si>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</si>
  <si>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</si>
  <si>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</si>
  <si>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</si>
  <si>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</si>
  <si>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</si>
  <si>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</si>
  <si>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</si>
  <si>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</si>
  <si>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</si>
  <si>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</si>
  <si>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</si>
  <si>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</si>
  <si>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</si>
  <si>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</si>
  <si>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</si>
  <si>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</si>
  <si>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</si>
  <si>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</si>
  <si>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</si>
  <si>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</si>
  <si>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</si>
  <si>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</si>
  <si>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</si>
  <si>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</si>
  <si>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</si>
  <si>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</si>
  <si>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</si>
  <si>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</si>
  <si>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</si>
  <si>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</si>
  <si>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</si>
  <si>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</si>
  <si>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</si>
  <si>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</si>
  <si>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</si>
  <si>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</si>
  <si>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</si>
  <si>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</si>
  <si>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</si>
  <si>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</si>
  <si>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</si>
  <si>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</si>
  <si>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</si>
  <si>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</si>
  <si>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</si>
  <si>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</si>
  <si>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</si>
  <si>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</si>
  <si>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</si>
  <si>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</si>
  <si>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</si>
  <si>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</si>
  <si>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</si>
  <si>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</si>
  <si>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</si>
  <si>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</si>
  <si>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</si>
  <si>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</si>
  <si>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</si>
  <si>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</si>
  <si>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</si>
  <si>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</si>
  <si>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</si>
  <si>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</si>
  <si>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</si>
  <si>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</si>
  <si>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</si>
  <si>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</si>
  <si>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</si>
  <si>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</si>
  <si>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</si>
  <si>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</si>
  <si>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</si>
  <si>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</si>
  <si>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</si>
  <si>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</si>
  <si>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</si>
  <si>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</si>
  <si>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</si>
  <si>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</si>
  <si>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</si>
  <si>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</si>
  <si>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</si>
  <si>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</si>
  <si>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</si>
  <si>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</si>
  <si>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</si>
  <si>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</si>
  <si>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</si>
  <si>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</si>
  <si>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</si>
  <si>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</si>
  <si>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</si>
  <si>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</si>
  <si>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</si>
  <si>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</si>
  <si>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</si>
  <si>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</si>
  <si>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</si>
  <si>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</si>
  <si>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</si>
  <si>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</si>
  <si>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</si>
  <si>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</si>
  <si>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</si>
  <si>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</si>
  <si>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</si>
  <si>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</si>
  <si>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</si>
  <si>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</si>
  <si>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</si>
  <si>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</si>
  <si>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</si>
  <si>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</si>
  <si>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</si>
  <si>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</si>
  <si>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</si>
  <si>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</si>
  <si>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</si>
  <si>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</si>
  <si>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</si>
  <si>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</si>
  <si>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</si>
  <si>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</si>
  <si>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</si>
  <si>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</si>
  <si>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</si>
  <si>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</si>
  <si>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</si>
  <si>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</si>
  <si>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</si>
  <si>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</si>
  <si>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</si>
  <si>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</si>
  <si>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</si>
  <si>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</si>
  <si>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</si>
  <si>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</si>
  <si>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</si>
  <si>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</si>
  <si>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</si>
  <si>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</si>
  <si>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</si>
  <si>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</si>
  <si>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</si>
  <si>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</si>
  <si>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</si>
  <si>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</si>
  <si>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</si>
  <si>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</si>
  <si>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</si>
  <si>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</si>
  <si>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</si>
  <si>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</si>
  <si>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</si>
  <si>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</si>
  <si>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</si>
  <si>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</si>
  <si>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</si>
  <si>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</si>
  <si>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</si>
  <si>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</si>
  <si>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</si>
  <si>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</si>
  <si>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</si>
  <si>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</si>
  <si>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</si>
  <si>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</si>
  <si>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</si>
  <si>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</si>
  <si>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</si>
  <si>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</si>
  <si>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</si>
  <si>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</si>
  <si>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</si>
  <si>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</si>
  <si>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</si>
  <si>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</si>
  <si>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</si>
  <si>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</si>
  <si>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</si>
  <si>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</si>
  <si>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</si>
  <si>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</si>
  <si>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</si>
  <si>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</si>
  <si>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</si>
  <si>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</si>
  <si>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</si>
  <si>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</si>
  <si>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</si>
  <si>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</si>
  <si>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</si>
  <si>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</si>
  <si>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</si>
  <si>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</si>
  <si>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</si>
  <si>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</si>
  <si>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</si>
  <si>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</si>
  <si>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</si>
  <si>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</si>
  <si>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</si>
  <si>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</si>
  <si>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</si>
  <si>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</si>
  <si>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</si>
  <si>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</si>
  <si>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</si>
  <si>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</si>
  <si>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</si>
  <si>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</si>
  <si>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</si>
  <si>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</si>
  <si>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</si>
  <si>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</si>
  <si>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</si>
  <si>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</si>
  <si>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</si>
  <si>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</si>
  <si>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</si>
  <si>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</si>
  <si>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</si>
  <si>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</si>
  <si>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</si>
  <si>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</si>
  <si>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</si>
  <si>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</si>
  <si>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</si>
  <si>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</si>
  <si>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</si>
  <si>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</si>
  <si>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</si>
  <si>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</si>
  <si>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</si>
  <si>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</si>
  <si>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</si>
  <si>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</si>
  <si>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</si>
  <si>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</si>
  <si>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</si>
  <si>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</si>
  <si>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</si>
  <si>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</si>
  <si>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</si>
  <si>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</si>
  <si>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</si>
  <si>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</si>
  <si>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</si>
  <si>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</si>
  <si>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</si>
  <si>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</si>
  <si>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</si>
  <si>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</si>
  <si>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</si>
  <si>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</si>
  <si>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</si>
  <si>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</si>
  <si>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</si>
  <si>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</si>
  <si>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</si>
  <si>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</si>
  <si>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</si>
  <si>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</si>
  <si>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</si>
  <si>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</si>
  <si>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</si>
  <si>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</si>
  <si>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</si>
  <si>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</si>
  <si>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</si>
  <si>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</si>
  <si>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</si>
  <si>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</si>
  <si>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</si>
  <si>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</si>
  <si>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</si>
  <si>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</si>
  <si>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</si>
  <si>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</si>
  <si>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</si>
  <si>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</si>
  <si>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</si>
  <si>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</si>
  <si>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</si>
  <si>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</si>
  <si>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</si>
  <si>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</si>
  <si>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</si>
  <si>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</si>
  <si>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</si>
  <si>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</si>
  <si>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</si>
  <si>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</si>
  <si>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</si>
  <si>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</si>
  <si>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</si>
  <si>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</si>
  <si>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</si>
  <si>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</si>
  <si>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</si>
  <si>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</si>
  <si>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</si>
  <si>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</si>
  <si>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</si>
  <si>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</si>
  <si>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</si>
  <si>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</si>
  <si>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</si>
  <si>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</si>
  <si>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</si>
  <si>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</si>
  <si>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</si>
  <si>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</si>
  <si>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</si>
  <si>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</si>
  <si>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</si>
  <si>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</si>
  <si>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</si>
  <si>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</si>
  <si>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</si>
  <si>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</si>
  <si>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</si>
  <si>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</si>
  <si>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</si>
  <si>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</si>
  <si>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</si>
  <si>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</si>
  <si>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</si>
  <si>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</si>
  <si>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</si>
  <si>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</si>
  <si>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</si>
  <si>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</si>
  <si>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</si>
  <si>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</si>
  <si>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</si>
  <si>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</si>
  <si>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</si>
  <si>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</si>
  <si>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</si>
  <si>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</si>
  <si>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</si>
  <si>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</si>
  <si>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</si>
  <si>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</si>
  <si>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</si>
  <si>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</si>
  <si>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</si>
  <si>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</si>
  <si>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</si>
  <si>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</si>
  <si>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</si>
  <si>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</si>
  <si>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</si>
  <si>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</si>
  <si>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</si>
  <si>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</si>
  <si>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</si>
  <si>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</si>
  <si>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</si>
  <si>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</si>
  <si>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</si>
  <si>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</si>
  <si>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</si>
  <si>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</si>
  <si>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</si>
  <si>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</si>
  <si>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</si>
  <si>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</si>
  <si>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</si>
  <si>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</si>
  <si>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</si>
  <si>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</si>
  <si>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</si>
  <si>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</si>
  <si>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</si>
  <si>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</si>
  <si>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</si>
  <si>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</si>
  <si>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</si>
  <si>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</si>
  <si>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</si>
  <si>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</si>
  <si>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</si>
  <si>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</si>
  <si>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</si>
  <si>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</si>
  <si>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</si>
  <si>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</si>
  <si>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</si>
  <si>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</si>
  <si>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</si>
  <si>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</si>
  <si>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</si>
  <si>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</si>
  <si>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</si>
  <si>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</si>
  <si>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</si>
  <si>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</si>
  <si>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</si>
  <si>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</si>
  <si>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</si>
  <si>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</si>
  <si>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</si>
  <si>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</si>
  <si>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</si>
  <si>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</si>
  <si>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</si>
  <si>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</si>
  <si>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</si>
  <si>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</si>
  <si>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</si>
  <si>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</si>
  <si>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</si>
  <si>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</si>
  <si>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</si>
  <si>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</si>
  <si>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</si>
  <si>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</si>
  <si>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</si>
  <si>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</si>
  <si>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</si>
  <si>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</si>
  <si>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</si>
  <si>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</si>
  <si>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</si>
  <si>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</si>
  <si>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</si>
  <si>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</si>
  <si>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</si>
  <si>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</si>
  <si>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</si>
  <si>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</si>
  <si>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</si>
  <si>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</si>
  <si>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</si>
  <si>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</si>
  <si>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</si>
  <si>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</si>
  <si>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</si>
  <si>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</si>
  <si>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</si>
  <si>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</si>
  <si>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</si>
  <si>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</si>
  <si>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</si>
  <si>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</si>
  <si>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</si>
  <si>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</si>
  <si>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</si>
  <si>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</si>
  <si>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</si>
  <si>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</si>
  <si>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</si>
  <si>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</si>
  <si>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</si>
  <si>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</si>
  <si>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</si>
  <si>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</si>
  <si>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</si>
  <si>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</si>
  <si>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</si>
  <si>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</si>
  <si>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</si>
  <si>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</si>
  <si>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</si>
  <si>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</si>
  <si>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</si>
  <si>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</si>
  <si>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</si>
  <si>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</si>
  <si>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</si>
  <si>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</si>
  <si>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</si>
  <si>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</si>
  <si>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</si>
  <si>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</si>
  <si>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</si>
  <si>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</si>
  <si>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</si>
  <si>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</si>
  <si>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</si>
  <si>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</si>
  <si>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</si>
  <si>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</si>
  <si>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</si>
  <si>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</si>
  <si>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</si>
  <si>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</si>
  <si>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</si>
  <si>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</si>
  <si>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</si>
  <si>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</si>
  <si>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</si>
  <si>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</si>
  <si>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</si>
  <si>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</si>
  <si>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</si>
  <si>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</si>
  <si>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</si>
  <si>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</si>
  <si>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</si>
  <si>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</si>
  <si>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</si>
  <si>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</si>
  <si>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</si>
  <si>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</si>
  <si>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</si>
  <si>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</si>
  <si>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</si>
  <si>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</si>
  <si>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</si>
  <si>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</si>
  <si>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</si>
  <si>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</si>
  <si>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</si>
  <si>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</si>
  <si>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</si>
  <si>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</si>
  <si>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</si>
  <si>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</si>
  <si>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</si>
  <si>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</si>
  <si>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</si>
  <si>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</si>
  <si>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</si>
  <si>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</si>
  <si>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</si>
  <si>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</si>
  <si>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</si>
  <si>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</si>
  <si>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</si>
  <si>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</si>
  <si>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</si>
  <si>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</si>
  <si>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</si>
  <si>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</si>
  <si>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</si>
  <si>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</si>
  <si>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</si>
  <si>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</si>
  <si>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</si>
  <si>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</si>
  <si>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</si>
  <si>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</si>
  <si>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</si>
  <si>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</si>
  <si>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</si>
  <si>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</si>
  <si>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</si>
  <si>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</si>
  <si>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</si>
  <si>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</si>
  <si>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</si>
  <si>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</si>
  <si>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</si>
  <si>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</si>
  <si>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</si>
  <si>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</si>
  <si>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</si>
  <si>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</si>
  <si>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</si>
  <si>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</si>
  <si>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</si>
  <si>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</si>
  <si>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</si>
  <si>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</si>
  <si>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</si>
  <si>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</si>
  <si>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</si>
  <si>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</si>
  <si>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</si>
  <si>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</si>
  <si>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</si>
  <si>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</si>
  <si>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</si>
  <si>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</si>
  <si>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</si>
  <si>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</si>
  <si>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</si>
  <si>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</si>
  <si>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</si>
  <si>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</si>
  <si>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</si>
  <si>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</si>
  <si>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</si>
  <si>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</si>
  <si>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</si>
  <si>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</si>
  <si>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</si>
  <si>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</si>
  <si>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</si>
  <si>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</si>
  <si>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</si>
  <si>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</si>
  <si>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</si>
  <si>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</si>
  <si>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</si>
  <si>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</si>
  <si>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</si>
  <si>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</si>
  <si>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</si>
  <si>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</si>
  <si>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</si>
  <si>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</si>
  <si>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</si>
  <si>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</si>
  <si>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</si>
  <si>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</si>
  <si>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</si>
  <si>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</si>
  <si>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</si>
  <si>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</si>
  <si>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</si>
  <si>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</si>
  <si>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</si>
  <si>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</si>
  <si>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</si>
  <si>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</si>
  <si>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</si>
  <si>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</si>
  <si>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</si>
  <si>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</si>
  <si>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</si>
  <si>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</si>
  <si>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</si>
  <si>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</si>
  <si>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</si>
  <si>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</si>
  <si>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</si>
  <si>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</si>
  <si>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</si>
  <si>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</si>
  <si>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</si>
  <si>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</si>
  <si>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</si>
  <si>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</si>
  <si>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</si>
  <si>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</si>
  <si>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</si>
  <si>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</si>
  <si>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</si>
  <si>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</si>
  <si>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</si>
  <si>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</si>
  <si>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</si>
  <si>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</si>
  <si>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</si>
  <si>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</si>
  <si>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</si>
  <si>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</si>
  <si>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</si>
  <si>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</si>
  <si>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</si>
  <si>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</si>
  <si>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</si>
  <si>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</si>
  <si>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</si>
  <si>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</si>
  <si>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</si>
  <si>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</si>
  <si>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</si>
  <si>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</si>
  <si>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</si>
  <si>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</si>
  <si>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</si>
  <si>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</si>
  <si>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</si>
  <si>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</si>
  <si>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</si>
  <si>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</si>
  <si>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</si>
  <si>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</si>
  <si>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</si>
  <si>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</si>
  <si>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</si>
  <si>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</si>
  <si>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</si>
  <si>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</si>
  <si>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</si>
  <si>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</si>
  <si>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</si>
  <si>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</si>
  <si>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</si>
  <si>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</si>
  <si>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</si>
  <si>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</si>
  <si>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</si>
  <si>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</si>
  <si>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</si>
  <si>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</si>
  <si>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</si>
  <si>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</si>
  <si>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</si>
  <si>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</si>
  <si>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</si>
  <si>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</si>
  <si>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</si>
  <si>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</si>
  <si>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</si>
  <si>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</si>
  <si>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</si>
  <si>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</si>
  <si>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</si>
  <si>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</si>
  <si>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</si>
  <si>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</si>
  <si>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</si>
  <si>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</si>
  <si>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</si>
  <si>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</si>
  <si>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</si>
  <si>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</si>
  <si>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</si>
  <si>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</si>
  <si>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</si>
  <si>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</si>
  <si>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</si>
  <si>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</si>
  <si>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</si>
  <si>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</si>
  <si>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</si>
  <si>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</si>
  <si>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</si>
  <si>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</si>
  <si>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</si>
  <si>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</si>
  <si>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</si>
  <si>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</si>
  <si>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</si>
  <si>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</si>
  <si>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</si>
  <si>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</si>
  <si>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</si>
  <si>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</si>
  <si>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</si>
  <si>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</si>
  <si>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</si>
  <si>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</si>
  <si>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</si>
  <si>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</si>
  <si>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</si>
  <si>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</si>
  <si>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</si>
  <si>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</si>
  <si>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</si>
  <si>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</si>
  <si>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</si>
  <si>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</si>
  <si>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</si>
  <si>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</si>
  <si>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</si>
  <si>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</si>
  <si>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</si>
  <si>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</si>
  <si>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</si>
  <si>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</si>
  <si>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</si>
  <si>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</si>
  <si>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</si>
  <si>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</si>
  <si>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</si>
  <si>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</si>
  <si>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</si>
  <si>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</si>
  <si>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</si>
  <si>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</si>
  <si>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</si>
  <si>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</si>
  <si>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</si>
  <si>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</si>
  <si>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</si>
  <si>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</si>
  <si>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</si>
  <si>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</si>
  <si>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</si>
  <si>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</si>
  <si>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</si>
  <si>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</si>
  <si>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</si>
  <si>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</si>
  <si>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</si>
  <si>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</si>
  <si>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</si>
  <si>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</si>
  <si>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</si>
  <si>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</si>
  <si>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</si>
  <si>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</si>
  <si>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</si>
  <si>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</si>
  <si>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</si>
  <si>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</si>
  <si>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</si>
  <si>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</si>
  <si>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</si>
  <si>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</si>
  <si>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</si>
  <si>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</si>
  <si>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</si>
  <si>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</si>
  <si>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</si>
  <si>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</si>
  <si>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</si>
  <si>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</si>
  <si>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</si>
  <si>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</si>
  <si>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</si>
  <si>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</si>
  <si>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</si>
  <si>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</si>
  <si>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</si>
  <si>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</si>
  <si>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</si>
  <si>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</si>
  <si>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</si>
  <si>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</si>
  <si>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</si>
  <si>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</si>
  <si>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</si>
  <si>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</si>
  <si>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</si>
  <si>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</si>
  <si>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</si>
  <si>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</si>
  <si>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</si>
  <si>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</si>
  <si>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</si>
  <si>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</si>
  <si>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</si>
  <si>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</si>
  <si>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</si>
  <si>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</si>
  <si>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</si>
  <si>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</si>
  <si>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</si>
  <si>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</si>
  <si>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</si>
  <si>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</si>
  <si>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</si>
  <si>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</si>
  <si>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</si>
  <si>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</si>
  <si>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</si>
  <si>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</si>
  <si>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</si>
  <si>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</si>
  <si>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</si>
  <si>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</si>
  <si>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</si>
  <si>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</si>
  <si>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</si>
  <si>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</si>
  <si>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</si>
  <si>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</si>
  <si>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</si>
  <si>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</si>
  <si>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</si>
  <si>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</si>
  <si>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</si>
  <si>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</si>
  <si>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</si>
  <si>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</si>
  <si>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</si>
  <si>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</si>
  <si>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</si>
  <si>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</si>
  <si>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</si>
  <si>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</si>
  <si>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</si>
  <si>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</si>
  <si>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</si>
  <si>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</si>
  <si>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</si>
  <si>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</si>
  <si>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</si>
  <si>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</si>
  <si>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</si>
  <si>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</si>
  <si>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</si>
  <si>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</si>
  <si>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</si>
  <si>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</si>
  <si>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</si>
  <si>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</si>
  <si>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</si>
  <si>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</si>
  <si>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</si>
  <si>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</si>
  <si>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</si>
  <si>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</si>
  <si>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</si>
  <si>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</si>
  <si>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</si>
  <si>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</si>
  <si>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</si>
  <si>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</si>
  <si>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</si>
  <si>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</si>
  <si>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</si>
  <si>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</si>
  <si>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</si>
  <si>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</si>
  <si>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</si>
  <si>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</si>
  <si>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</si>
  <si>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</si>
  <si>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</si>
  <si>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</si>
  <si>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</si>
  <si>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</si>
  <si>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</si>
  <si>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</si>
  <si>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</si>
  <si>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</si>
  <si>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</si>
  <si>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</si>
  <si>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</si>
  <si>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</si>
  <si>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</si>
  <si>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</si>
  <si>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</si>
  <si>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</si>
  <si>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</si>
  <si>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</si>
  <si>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</si>
  <si>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</si>
  <si>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</si>
  <si>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</si>
  <si>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</si>
  <si>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</si>
  <si>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</si>
  <si>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</si>
  <si>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</si>
  <si>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</si>
  <si>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</si>
  <si>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</si>
  <si>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</si>
  <si>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</si>
  <si>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</si>
  <si>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</si>
  <si>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</si>
  <si>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</si>
  <si>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</si>
  <si>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</si>
  <si>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</si>
  <si>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</si>
  <si>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</si>
  <si>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</si>
  <si>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</si>
  <si>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</si>
  <si>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</si>
  <si>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</si>
  <si>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</si>
  <si>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</si>
  <si>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</si>
  <si>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</si>
  <si>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</si>
  <si>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</si>
  <si>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</si>
  <si>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</si>
  <si>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</si>
  <si>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</si>
  <si>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</si>
  <si>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</si>
  <si>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</si>
  <si>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</si>
  <si>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</si>
  <si>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</si>
  <si>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</si>
  <si>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</si>
  <si>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</si>
  <si>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</si>
  <si>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</si>
  <si>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</si>
  <si>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</si>
  <si>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</si>
  <si>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</si>
  <si>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</si>
  <si>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</si>
  <si>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</si>
  <si>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</si>
  <si>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</si>
  <si>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</si>
  <si>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</si>
  <si>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</si>
  <si>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</si>
  <si>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</si>
  <si>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</si>
  <si>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</si>
  <si>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</si>
  <si>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</si>
  <si>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</si>
  <si>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</si>
  <si>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</si>
  <si>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</si>
  <si>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</si>
  <si>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</si>
  <si>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</si>
  <si>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</si>
  <si>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</si>
  <si>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</si>
  <si>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</si>
  <si>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</si>
  <si>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</si>
  <si>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</si>
  <si>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</si>
  <si>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</si>
  <si>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</si>
  <si>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</si>
  <si>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</si>
  <si>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</si>
  <si>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</si>
  <si>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</si>
  <si>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</si>
  <si>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</si>
  <si>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</si>
  <si>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</si>
  <si>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</si>
  <si>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</si>
  <si>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</si>
  <si>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</si>
  <si>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</si>
  <si>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</si>
  <si>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</si>
  <si>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</si>
  <si>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</si>
  <si>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</si>
  <si>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</si>
  <si>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</si>
  <si>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</si>
  <si>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</si>
  <si>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</si>
  <si>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</si>
  <si>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</si>
  <si>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</si>
  <si>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</si>
  <si>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</si>
  <si>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</si>
  <si>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</si>
  <si>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</si>
  <si>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</si>
  <si>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</si>
  <si>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</si>
  <si>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</si>
  <si>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</si>
  <si>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</si>
  <si>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</si>
  <si>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</si>
  <si>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</si>
  <si>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</si>
  <si>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</si>
  <si>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</si>
  <si>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</si>
  <si>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</si>
  <si>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</si>
  <si>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</si>
  <si>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</si>
  <si>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</si>
  <si>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</si>
  <si>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</si>
  <si>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</si>
  <si>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</si>
  <si>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</si>
  <si>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</si>
  <si>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</si>
  <si>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</si>
  <si>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</si>
  <si>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</si>
  <si>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</si>
  <si>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</si>
  <si>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</si>
  <si>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</si>
  <si>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</si>
  <si>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</si>
  <si>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</si>
  <si>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</si>
  <si>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</si>
  <si>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</si>
  <si>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</si>
  <si>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</si>
  <si>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</si>
  <si>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</si>
  <si>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</si>
  <si>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</si>
  <si>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</si>
  <si>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</si>
  <si>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</si>
  <si>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</si>
  <si>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</si>
  <si>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</si>
  <si>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</si>
  <si>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</si>
  <si>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</si>
  <si>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</si>
  <si>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</si>
  <si>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</si>
  <si>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</si>
  <si>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</si>
  <si>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</si>
  <si>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</si>
  <si>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</si>
  <si>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</si>
  <si>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</si>
  <si>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</si>
  <si>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</si>
  <si>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</si>
  <si>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</si>
  <si>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</si>
  <si>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</si>
  <si>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</si>
  <si>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</si>
  <si>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</si>
  <si>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</si>
  <si>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</si>
  <si>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</si>
  <si>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</si>
  <si>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</si>
  <si>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</si>
  <si>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</si>
  <si>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</si>
  <si>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</si>
  <si>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</si>
  <si>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</si>
  <si>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</si>
  <si>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</si>
  <si>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</si>
  <si>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</si>
  <si>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</si>
  <si>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</si>
  <si>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</si>
  <si>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</si>
  <si>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</si>
  <si>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</si>
  <si>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</si>
  <si>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</si>
  <si>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</si>
  <si>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</si>
  <si>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</si>
  <si>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</si>
  <si>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</si>
  <si>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</si>
  <si>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</si>
  <si>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</si>
  <si>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</si>
  <si>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</si>
  <si>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</si>
  <si>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</si>
  <si>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</si>
  <si>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</si>
  <si>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</si>
  <si>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</si>
  <si>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</si>
  <si>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</si>
  <si>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</si>
  <si>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</si>
  <si>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</si>
  <si>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</si>
  <si>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</si>
  <si>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</si>
  <si>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</si>
  <si>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</si>
  <si>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</si>
  <si>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</si>
  <si>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</si>
  <si>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</si>
  <si>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</si>
  <si>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</si>
  <si>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</si>
  <si>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</si>
  <si>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</si>
  <si>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</si>
  <si>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</si>
  <si>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</si>
  <si>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</si>
  <si>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</si>
  <si>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</si>
  <si>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</si>
  <si>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</si>
  <si>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</si>
  <si>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</si>
  <si>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</si>
  <si>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</si>
  <si>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</si>
  <si>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</si>
  <si>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</si>
  <si>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</si>
  <si>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</si>
  <si>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</si>
  <si>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</si>
  <si>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</si>
  <si>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</si>
  <si>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</si>
  <si>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</si>
  <si>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</si>
  <si>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</si>
  <si>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</si>
  <si>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</si>
  <si>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</si>
  <si>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</si>
  <si>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</si>
  <si>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</si>
  <si>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</si>
  <si>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</si>
  <si>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</si>
  <si>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</si>
  <si>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</si>
  <si>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</si>
  <si>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</si>
  <si>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</si>
  <si>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</si>
  <si>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</si>
  <si>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</si>
  <si>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</si>
  <si>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</si>
  <si>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</si>
  <si>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</si>
  <si>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</si>
  <si>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</si>
  <si>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</si>
  <si>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</si>
  <si>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</si>
  <si>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</si>
  <si>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</si>
  <si>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</si>
  <si>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</si>
  <si>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</si>
  <si>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</si>
  <si>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</si>
  <si>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</si>
  <si>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</si>
  <si>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</si>
  <si>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</si>
  <si>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</si>
  <si>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</si>
  <si>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</si>
  <si>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</si>
  <si>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</si>
  <si>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</si>
  <si>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</si>
  <si>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</si>
  <si>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</si>
  <si>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</si>
  <si>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</si>
  <si>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</si>
  <si>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</si>
  <si>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</si>
  <si>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</si>
  <si>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</si>
  <si>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</si>
  <si>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</si>
  <si>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</si>
  <si>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</si>
  <si>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</si>
  <si>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</si>
  <si>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</si>
  <si>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</si>
  <si>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</si>
  <si>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</si>
  <si>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</si>
  <si>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</si>
  <si>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</si>
  <si>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</si>
  <si>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</si>
  <si>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</si>
  <si>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</si>
  <si>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</si>
  <si>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</si>
  <si>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</si>
  <si>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</si>
  <si>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</si>
  <si>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</si>
  <si>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</si>
  <si>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</si>
  <si>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</si>
  <si>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</si>
  <si>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</si>
  <si>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</si>
  <si>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</si>
  <si>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</si>
  <si>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</si>
  <si>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</si>
  <si>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</si>
  <si>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</si>
  <si>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</si>
  <si>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</si>
  <si>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</si>
  <si>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</si>
  <si>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</si>
  <si>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</si>
  <si>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</si>
  <si>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</si>
  <si>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</si>
  <si>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</si>
  <si>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</si>
  <si>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</si>
  <si>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</si>
  <si>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</si>
  <si>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</si>
  <si>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</si>
  <si>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</si>
  <si>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</si>
  <si>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</si>
  <si>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</si>
  <si>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</si>
  <si>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</si>
  <si>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</si>
  <si>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</si>
  <si>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</si>
  <si>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</si>
  <si>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</si>
  <si>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</si>
  <si>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</si>
  <si>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</si>
  <si>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</si>
  <si>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</si>
  <si>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</si>
  <si>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</si>
  <si>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</si>
  <si>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</si>
  <si>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</si>
  <si>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</si>
  <si>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</si>
  <si>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</si>
  <si>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</si>
  <si>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</si>
  <si>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</si>
  <si>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</si>
  <si>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</si>
  <si>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</si>
  <si>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</si>
  <si>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</si>
  <si>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</si>
  <si>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</si>
  <si>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</si>
  <si>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</si>
  <si>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</si>
  <si>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</si>
  <si>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</si>
  <si>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</si>
  <si>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</si>
  <si>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</si>
  <si>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</si>
  <si>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</si>
  <si>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</si>
  <si>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</si>
  <si>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</si>
  <si>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</si>
  <si>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</si>
  <si>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</si>
  <si>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</si>
  <si>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</si>
  <si>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</si>
  <si>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</si>
  <si>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</si>
  <si>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</si>
  <si>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</si>
  <si>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</si>
  <si>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</si>
  <si>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</si>
  <si>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</si>
  <si>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</si>
  <si>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</si>
  <si>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</si>
  <si>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</si>
  <si>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</si>
  <si>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</si>
  <si>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</si>
  <si>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</si>
  <si>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</si>
  <si>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</si>
  <si>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</si>
  <si>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</si>
  <si>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</si>
  <si>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</si>
  <si>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</si>
  <si>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</si>
  <si>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</si>
  <si>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</si>
  <si>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</si>
  <si>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</si>
  <si>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</si>
  <si>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</si>
  <si>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</si>
  <si>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</si>
  <si>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</si>
  <si>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</si>
  <si>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</si>
  <si>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</si>
  <si>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</si>
  <si>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</si>
  <si>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</si>
  <si>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</si>
  <si>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</si>
  <si>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</si>
  <si>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</si>
  <si>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</si>
  <si>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</si>
  <si>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</si>
  <si>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</si>
  <si>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</si>
  <si>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</si>
  <si>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</si>
  <si>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</si>
  <si>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</si>
  <si>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</si>
  <si>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</si>
  <si>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</si>
  <si>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</si>
  <si>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</si>
  <si>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</si>
  <si>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</si>
  <si>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</si>
  <si>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</si>
  <si>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</si>
  <si>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</si>
  <si>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</si>
  <si>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</si>
  <si>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</si>
  <si>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</si>
  <si>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</si>
  <si>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</si>
  <si>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</si>
  <si>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</si>
  <si>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</si>
  <si>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</si>
  <si>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</si>
  <si>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</si>
  <si>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</si>
  <si>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</si>
  <si>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</si>
  <si>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</si>
  <si>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</si>
  <si>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</si>
  <si>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</si>
  <si>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</si>
  <si>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</si>
  <si>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</si>
  <si>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</si>
  <si>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</si>
  <si>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</si>
  <si>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</si>
  <si>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</si>
  <si>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</si>
  <si>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</si>
  <si>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</si>
  <si>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</si>
  <si>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</si>
  <si>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</si>
  <si>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</si>
  <si>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</si>
  <si>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</si>
  <si>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</si>
  <si>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</si>
  <si>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</si>
  <si>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</si>
  <si>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</si>
  <si>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</si>
  <si>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</si>
  <si>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</si>
  <si>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</si>
  <si>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</si>
  <si>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</si>
  <si>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</si>
  <si>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</si>
  <si>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</si>
  <si>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</si>
  <si>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</si>
  <si>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</si>
  <si>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</si>
  <si>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</si>
  <si>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</si>
  <si>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</si>
  <si>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</si>
  <si>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</si>
  <si>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</si>
  <si>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</si>
  <si>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</si>
  <si>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</si>
  <si>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</si>
  <si>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</si>
  <si>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</si>
  <si>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</si>
  <si>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</si>
  <si>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</si>
  <si>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</si>
  <si>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</si>
  <si>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</si>
  <si>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</si>
  <si>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</si>
  <si>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</si>
  <si>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</si>
  <si>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</si>
  <si>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</si>
  <si>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</si>
  <si>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</si>
  <si>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</si>
  <si>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</si>
  <si>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</si>
  <si>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</si>
  <si>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</si>
  <si>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</si>
  <si>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</si>
  <si>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</si>
  <si>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</si>
  <si>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</si>
  <si>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</si>
  <si>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</si>
  <si>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</si>
  <si>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</si>
  <si>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</si>
  <si>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</si>
  <si>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</si>
  <si>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</si>
  <si>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</si>
  <si>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</si>
  <si>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</si>
  <si>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</si>
  <si>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</si>
  <si>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</si>
  <si>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</si>
  <si>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</si>
  <si>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</si>
  <si>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</si>
  <si>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</si>
  <si>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</si>
  <si>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</si>
  <si>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</si>
  <si>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</si>
  <si>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</si>
  <si>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</si>
  <si>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</si>
  <si>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</si>
  <si>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</si>
  <si>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</si>
  <si>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</si>
  <si>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</si>
  <si>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</si>
  <si>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</si>
  <si>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</si>
  <si>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</si>
  <si>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</si>
  <si>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</si>
  <si>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</si>
  <si>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</si>
  <si>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</si>
  <si>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</si>
  <si>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</si>
  <si>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</si>
  <si>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</si>
  <si>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</si>
  <si>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</si>
  <si>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</si>
  <si>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</si>
  <si>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</si>
  <si>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</si>
  <si>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</si>
  <si>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</si>
  <si>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</si>
  <si>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</si>
  <si>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</si>
  <si>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</si>
  <si>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</si>
  <si>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</si>
  <si>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</si>
  <si>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</si>
  <si>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</si>
  <si>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</si>
  <si>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</si>
  <si>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</si>
  <si>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</si>
  <si>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</si>
  <si>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</si>
  <si>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</si>
  <si>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</si>
  <si>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</si>
  <si>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</si>
  <si>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</si>
  <si>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</si>
  <si>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</si>
  <si>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</si>
  <si>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</si>
  <si>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</si>
  <si>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</si>
  <si>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</si>
  <si>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</si>
  <si>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</si>
  <si>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</si>
  <si>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</si>
  <si>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</si>
  <si>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</si>
  <si>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</si>
  <si>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</si>
  <si>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</si>
  <si>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</si>
  <si>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</si>
  <si>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</si>
  <si>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</si>
  <si>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</si>
  <si>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</si>
  <si>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</si>
  <si>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</si>
  <si>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</si>
  <si>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</si>
  <si>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</si>
  <si>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</si>
  <si>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</si>
  <si>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</si>
  <si>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</si>
  <si>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</si>
  <si>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</si>
  <si>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</si>
  <si>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</si>
  <si>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</si>
  <si>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</si>
  <si>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</si>
  <si>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</si>
  <si>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</si>
  <si>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</si>
  <si>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</si>
  <si>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</si>
  <si>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</si>
  <si>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</si>
  <si>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</si>
  <si>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</si>
  <si>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</si>
  <si>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</si>
  <si>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</si>
  <si>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</si>
  <si>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</si>
  <si>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</si>
  <si>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</si>
  <si>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</si>
  <si>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</si>
  <si>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</si>
  <si>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</si>
  <si>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</si>
  <si>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</si>
  <si>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</si>
  <si>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</si>
  <si>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</si>
  <si>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</si>
  <si>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</si>
  <si>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</si>
  <si>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</si>
  <si>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</si>
  <si>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</si>
  <si>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</si>
  <si>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</si>
  <si>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</si>
  <si>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</si>
  <si>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</si>
  <si>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</si>
  <si>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</si>
  <si>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</si>
  <si>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</si>
  <si>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</si>
  <si>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</si>
  <si>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</si>
  <si>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</si>
  <si>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</si>
  <si>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</si>
  <si>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</si>
  <si>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</si>
  <si>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</si>
  <si>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</si>
  <si>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</si>
  <si>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</si>
  <si>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</si>
  <si>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</si>
  <si>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</si>
  <si>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</si>
  <si>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</si>
  <si>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</si>
  <si>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</si>
  <si>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</si>
  <si>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</si>
  <si>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</si>
  <si>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</si>
  <si>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</si>
  <si>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</si>
  <si>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</si>
  <si>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</si>
  <si>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</si>
  <si>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</si>
  <si>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</si>
  <si>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</si>
  <si>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</si>
  <si>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</si>
  <si>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</si>
  <si>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</si>
  <si>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</si>
  <si>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</si>
  <si>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</si>
  <si>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</si>
  <si>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</si>
  <si>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</si>
  <si>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</si>
  <si>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</si>
  <si>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</si>
  <si>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</si>
  <si>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</si>
  <si>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</si>
  <si>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</si>
  <si>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</si>
  <si>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</si>
  <si>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</si>
  <si>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</si>
  <si>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</si>
  <si>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</si>
  <si>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</si>
  <si>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</si>
  <si>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</si>
  <si>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</si>
  <si>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</si>
  <si>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</si>
  <si>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</si>
  <si>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</si>
  <si>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</si>
  <si>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</si>
  <si>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</si>
  <si>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</si>
  <si>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</si>
  <si>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</si>
  <si>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</si>
  <si>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</si>
  <si>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</si>
  <si>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</si>
  <si>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</si>
  <si>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</si>
  <si>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</si>
  <si>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</si>
  <si>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</si>
  <si>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</si>
  <si>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</si>
  <si>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</si>
  <si>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</si>
  <si>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</si>
  <si>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</si>
  <si>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</si>
  <si>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</si>
  <si>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</si>
  <si>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</si>
  <si>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</si>
  <si>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</si>
  <si>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</si>
  <si>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</si>
  <si>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</si>
  <si>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</si>
  <si>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</si>
  <si>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</si>
  <si>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</si>
  <si>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</si>
  <si>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</si>
  <si>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</si>
  <si>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</si>
  <si>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</si>
  <si>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</si>
  <si>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</si>
  <si>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</si>
  <si>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</si>
  <si>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</si>
  <si>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</si>
  <si>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</si>
  <si>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</si>
  <si>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</si>
  <si>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</si>
  <si>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</si>
  <si>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</si>
  <si>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</si>
  <si>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</si>
  <si>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</si>
  <si>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</si>
  <si>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</si>
  <si>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</si>
  <si>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</si>
  <si>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</si>
  <si>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</si>
  <si>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</si>
  <si>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</si>
  <si>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</si>
  <si>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</si>
  <si>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</si>
  <si>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</si>
  <si>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</si>
  <si>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</si>
  <si>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</si>
  <si>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</si>
  <si>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</si>
  <si>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</si>
  <si>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</si>
  <si>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</si>
  <si>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</si>
  <si>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</si>
  <si>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</si>
  <si>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</si>
  <si>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</si>
  <si>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</si>
  <si>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</si>
  <si>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</si>
  <si>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</si>
  <si>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</si>
  <si>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</si>
  <si>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</si>
  <si>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</si>
  <si>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</si>
  <si>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</si>
  <si>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</si>
  <si>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</si>
  <si>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</si>
  <si>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</si>
  <si>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</si>
  <si>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</si>
  <si>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</si>
  <si>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</si>
  <si>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</si>
  <si>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</si>
  <si>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</si>
  <si>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</si>
  <si>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</si>
  <si>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</si>
  <si>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</si>
  <si>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</si>
  <si>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</si>
  <si>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</si>
  <si>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</si>
  <si>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</si>
  <si>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</si>
  <si>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</si>
  <si>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</si>
  <si>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</si>
  <si>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</si>
  <si>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</si>
  <si>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</si>
  <si>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</si>
  <si>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</si>
  <si>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</si>
  <si>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</si>
  <si>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</si>
  <si>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</si>
  <si>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</si>
  <si>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</si>
  <si>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</si>
  <si>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</si>
  <si>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</si>
  <si>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</si>
  <si>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</si>
  <si>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</si>
  <si>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</si>
  <si>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</si>
  <si>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</si>
  <si>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</si>
  <si>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</si>
  <si>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</si>
  <si>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</si>
  <si>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</si>
  <si>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</si>
  <si>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</si>
  <si>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</si>
  <si>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</si>
  <si>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</si>
  <si>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</si>
  <si>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</si>
  <si>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</si>
  <si>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</si>
  <si>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</si>
  <si>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</si>
  <si>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</si>
  <si>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</si>
  <si>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</si>
  <si>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</si>
  <si>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</si>
  <si>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</si>
  <si>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</si>
  <si>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</si>
  <si>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</si>
  <si>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</si>
  <si>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</si>
  <si>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</si>
  <si>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</si>
  <si>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</si>
  <si>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</si>
  <si>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</si>
  <si>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</si>
  <si>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</si>
  <si>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</si>
  <si>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</si>
  <si>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</si>
  <si>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</si>
  <si>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</si>
  <si>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</si>
  <si>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</si>
  <si>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</si>
  <si>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</si>
  <si>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</si>
  <si>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</si>
  <si>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</si>
  <si>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</si>
  <si>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</si>
  <si>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</si>
  <si>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</si>
  <si>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</si>
  <si>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</si>
  <si>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</si>
  <si>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</si>
  <si>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</si>
  <si>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</si>
  <si>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</si>
  <si>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</si>
  <si>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</si>
  <si>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</si>
  <si>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</si>
  <si>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</si>
  <si>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</si>
  <si>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</si>
  <si>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</si>
  <si>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</si>
  <si>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</si>
  <si>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</si>
  <si>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</si>
  <si>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</si>
  <si>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</si>
  <si>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</si>
  <si>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</si>
  <si>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</si>
  <si>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</si>
  <si>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</si>
  <si>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</si>
  <si>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</si>
  <si>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</si>
  <si>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</si>
  <si>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</si>
  <si>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</si>
  <si>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</si>
  <si>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</si>
  <si>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</si>
  <si>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</si>
  <si>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</si>
  <si>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</si>
  <si>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</si>
  <si>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</si>
  <si>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</si>
  <si>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</si>
  <si>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</si>
  <si>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</si>
  <si>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</si>
  <si>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</si>
  <si>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</si>
  <si>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</si>
  <si>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</si>
  <si>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</si>
  <si>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</si>
  <si>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</si>
  <si>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</si>
  <si>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</si>
  <si>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</si>
  <si>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</si>
  <si>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</si>
  <si>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</si>
  <si>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</si>
  <si>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</si>
  <si>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</si>
  <si>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</si>
  <si>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</si>
  <si>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</si>
  <si>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</si>
  <si>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</si>
  <si>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</si>
  <si>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</si>
  <si>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</si>
  <si>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</si>
  <si>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</si>
  <si>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</si>
  <si>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</si>
  <si>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</si>
  <si>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</si>
  <si>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</si>
  <si>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</si>
  <si>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</si>
  <si>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</si>
  <si>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</si>
  <si>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</si>
  <si>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</si>
  <si>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</si>
  <si>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</si>
  <si>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</si>
  <si>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</si>
  <si>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</si>
  <si>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</si>
  <si>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</si>
  <si>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</si>
  <si>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</si>
  <si>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</si>
  <si>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</si>
  <si>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</si>
  <si>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</si>
  <si>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</si>
  <si>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</si>
  <si>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</si>
  <si>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</si>
  <si>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</si>
  <si>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</si>
  <si>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</si>
  <si>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</si>
  <si>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</si>
  <si>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</si>
  <si>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</si>
  <si>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</si>
  <si>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</si>
  <si>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</si>
  <si>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</si>
  <si>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</si>
  <si>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</si>
  <si>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</si>
  <si>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</si>
  <si>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</si>
  <si>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</si>
  <si>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</si>
  <si>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</si>
  <si>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</si>
  <si>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</si>
  <si>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</si>
  <si>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</si>
  <si>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</si>
  <si>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</si>
  <si>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</si>
  <si>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</si>
  <si>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</si>
  <si>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</si>
  <si>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</si>
  <si>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</si>
  <si>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</si>
  <si>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</si>
  <si>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</si>
  <si>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</si>
  <si>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</si>
  <si>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</si>
  <si>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</si>
  <si>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</si>
  <si>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</si>
  <si>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</si>
  <si>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</si>
  <si>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</si>
  <si>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</si>
  <si>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</si>
  <si>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</si>
  <si>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</si>
  <si>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</si>
  <si>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</si>
  <si>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</si>
  <si>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</si>
  <si>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</si>
  <si>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</si>
  <si>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</si>
  <si>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</si>
  <si>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</si>
  <si>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</si>
  <si>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</si>
  <si>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</si>
  <si>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</si>
  <si>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</si>
  <si>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</si>
  <si>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</si>
  <si>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</si>
  <si>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</si>
  <si>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</si>
  <si>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</si>
  <si>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</si>
  <si>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</si>
  <si>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</si>
  <si>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</si>
  <si>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</si>
  <si>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</si>
  <si>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</si>
  <si>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</si>
  <si>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</si>
  <si>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</si>
  <si>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</si>
  <si>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</si>
  <si>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</si>
  <si>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</si>
  <si>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</si>
  <si>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</si>
  <si>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</si>
  <si>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</si>
  <si>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</si>
  <si>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</si>
  <si>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</si>
  <si>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</si>
  <si>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</si>
  <si>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</si>
  <si>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</si>
  <si>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</si>
  <si>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</si>
  <si>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</si>
  <si>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</si>
  <si>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</si>
  <si>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</si>
  <si>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</si>
  <si>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</si>
  <si>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</si>
  <si>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</si>
  <si>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</si>
  <si>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</si>
  <si>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</si>
  <si>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</si>
  <si>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</si>
  <si>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</si>
  <si>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</si>
  <si>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</si>
  <si>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</si>
  <si>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</si>
  <si>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</si>
  <si>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</si>
  <si>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</si>
  <si>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</si>
  <si>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</si>
  <si>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</si>
  <si>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</si>
  <si>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</si>
  <si>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</si>
  <si>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</si>
  <si>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</si>
  <si>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</si>
  <si>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</si>
  <si>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</si>
  <si>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</si>
  <si>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</si>
  <si>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</si>
  <si>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</si>
  <si>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</si>
  <si>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</si>
  <si>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</si>
  <si>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</si>
  <si>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</si>
  <si>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</si>
  <si>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</si>
  <si>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</si>
  <si>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</si>
  <si>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</si>
  <si>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</si>
  <si>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</si>
  <si>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</si>
  <si>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</si>
  <si>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</si>
  <si>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</si>
  <si>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</si>
  <si>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</si>
  <si>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</si>
  <si>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</si>
  <si>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</si>
  <si>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</si>
  <si>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</si>
  <si>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</si>
  <si>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</si>
  <si>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</si>
  <si>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</si>
  <si>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</si>
  <si>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</si>
  <si>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</si>
  <si>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</si>
  <si>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</si>
  <si>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</si>
  <si>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</si>
  <si>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</si>
  <si>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</si>
  <si>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</si>
  <si>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</si>
  <si>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</si>
  <si>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</si>
  <si>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</si>
  <si>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</si>
  <si>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</si>
  <si>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</si>
  <si>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</si>
  <si>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</si>
  <si>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</si>
  <si>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</si>
  <si>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</si>
  <si>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</si>
  <si>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</si>
  <si>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</si>
  <si>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</si>
  <si>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</si>
  <si>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</si>
  <si>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</si>
  <si>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</si>
  <si>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</si>
  <si>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</si>
  <si>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</si>
  <si>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</si>
  <si>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</si>
  <si>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</si>
  <si>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</si>
  <si>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</si>
  <si>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</si>
  <si>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</si>
  <si>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</si>
  <si>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</si>
  <si>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</si>
  <si>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</si>
  <si>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</si>
  <si>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</si>
  <si>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</si>
  <si>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</si>
  <si>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</si>
  <si>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</si>
  <si>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</si>
  <si>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</si>
  <si>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</si>
  <si>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</si>
  <si>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</si>
  <si>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</si>
  <si>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</si>
  <si>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</si>
  <si>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</si>
  <si>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</si>
  <si>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</si>
  <si>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</si>
  <si>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</si>
  <si>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</si>
  <si>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</si>
  <si>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</si>
  <si>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</si>
  <si>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</si>
  <si>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</si>
  <si>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</si>
  <si>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</si>
  <si>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</si>
  <si>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</si>
  <si>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</si>
  <si>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</si>
  <si>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</si>
  <si>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</si>
  <si>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</si>
  <si>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</si>
  <si>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</si>
  <si>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</si>
  <si>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</si>
  <si>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</si>
  <si>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</si>
  <si>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</si>
  <si>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</si>
  <si>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</si>
  <si>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</si>
  <si>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</si>
  <si>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</si>
  <si>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</si>
  <si>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</si>
  <si>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</si>
  <si>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</si>
  <si>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</si>
  <si>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</si>
  <si>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</si>
  <si>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</si>
  <si>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</si>
  <si>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</si>
  <si>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</si>
  <si>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</si>
  <si>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</si>
  <si>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</si>
  <si>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Site information</t>
  </si>
  <si>
    <t>Project Duration</t>
  </si>
  <si>
    <t>WASH Partner &amp; Donor information</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</si>
  <si>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</si>
  <si>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</si>
  <si>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</si>
  <si>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</si>
  <si>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</si>
  <si>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</si>
  <si>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</si>
  <si>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</si>
  <si>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</si>
  <si>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</si>
  <si>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</si>
  <si>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</si>
  <si>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</si>
  <si>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</si>
  <si>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</si>
  <si>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</si>
  <si>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</si>
  <si>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</si>
  <si>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</si>
  <si>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</si>
  <si>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</si>
  <si>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</si>
  <si>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</si>
  <si>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</si>
  <si>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</si>
  <si>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</si>
  <si>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</si>
  <si>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</si>
  <si>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</si>
  <si>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</si>
  <si>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</si>
  <si>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</si>
  <si>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</si>
  <si>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</si>
  <si>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</si>
  <si>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</si>
  <si>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</si>
  <si>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</si>
  <si>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</si>
  <si>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</si>
  <si>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</si>
  <si>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</si>
  <si>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</si>
  <si>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</si>
  <si>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</si>
  <si>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</si>
  <si>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</si>
  <si>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</si>
  <si>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</si>
  <si>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</si>
  <si>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</si>
  <si>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</si>
  <si>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</si>
  <si>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</si>
  <si>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</si>
  <si>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</si>
  <si>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</si>
  <si>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</si>
  <si>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</si>
  <si>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</si>
  <si>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</si>
  <si>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</si>
  <si>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</si>
  <si>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</si>
  <si>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</si>
  <si>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</si>
  <si>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</si>
  <si>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</si>
  <si>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</si>
  <si>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</si>
  <si>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</si>
  <si>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</si>
  <si>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</si>
  <si>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</si>
  <si>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</si>
  <si>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</si>
  <si>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</si>
  <si>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</si>
  <si>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</si>
  <si>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</si>
  <si>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</si>
  <si>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</si>
  <si>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</si>
  <si>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</si>
  <si>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</si>
  <si>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</si>
  <si>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</si>
  <si>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</si>
  <si>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</si>
  <si>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</si>
  <si>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</si>
  <si>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</si>
  <si>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</si>
  <si>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</si>
  <si>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</si>
  <si>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</si>
  <si>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</si>
  <si>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</si>
  <si>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</si>
  <si>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</si>
  <si>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</si>
  <si>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</si>
  <si>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</si>
  <si>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</si>
  <si>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</si>
  <si>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</si>
  <si>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</si>
  <si>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</si>
  <si>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</si>
  <si>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</si>
  <si>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</si>
  <si>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</si>
  <si>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</si>
  <si>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</si>
  <si>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</si>
  <si>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</si>
  <si>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</si>
  <si>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</si>
  <si>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</si>
  <si>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</si>
  <si>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</si>
  <si>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</si>
  <si>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</si>
  <si>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</si>
  <si>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</si>
  <si>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</si>
  <si>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</si>
  <si>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</si>
  <si>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</si>
  <si>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</si>
  <si>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</si>
  <si>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</si>
  <si>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</si>
  <si>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</si>
  <si>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</si>
  <si>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</si>
  <si>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</si>
  <si>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</si>
  <si>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</si>
  <si>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</si>
  <si>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</si>
  <si>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</si>
  <si>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</si>
  <si>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</si>
  <si>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</si>
  <si>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</si>
  <si>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</si>
  <si>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</si>
  <si>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</si>
  <si>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</si>
  <si>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</si>
  <si>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</si>
  <si>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</si>
  <si>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</si>
  <si>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</si>
  <si>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</si>
  <si>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</si>
  <si>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</si>
  <si>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</si>
  <si>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</si>
  <si>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</si>
  <si>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</si>
  <si>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</si>
  <si>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</si>
  <si>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</si>
  <si>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</si>
  <si>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</si>
  <si>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</si>
  <si>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</si>
  <si>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</si>
  <si>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</si>
  <si>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</si>
  <si>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</si>
  <si>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</si>
  <si>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</si>
  <si>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</si>
  <si>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</si>
  <si>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</si>
  <si>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</si>
  <si>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</si>
  <si>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</si>
  <si>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</si>
  <si>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</si>
  <si>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</si>
  <si>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</si>
  <si>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</si>
  <si>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</si>
  <si>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</si>
  <si>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</si>
  <si>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</si>
  <si>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</si>
  <si>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</si>
  <si>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</si>
  <si>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</si>
  <si>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</si>
  <si>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</si>
  <si>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</si>
  <si>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</si>
  <si>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</si>
  <si>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</si>
  <si>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</si>
  <si>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</si>
  <si>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</si>
  <si>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</si>
  <si>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</si>
  <si>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</si>
  <si>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</si>
  <si>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</si>
  <si>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</si>
  <si>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</si>
  <si>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</si>
  <si>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</si>
  <si>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</si>
  <si>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</si>
  <si>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</si>
  <si>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</si>
  <si>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</si>
  <si>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</si>
  <si>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</si>
  <si>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</si>
  <si>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</si>
  <si>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</si>
  <si>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</si>
  <si>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</si>
  <si>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</si>
  <si>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</si>
  <si>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</si>
  <si>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</si>
  <si>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</si>
  <si>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</si>
  <si>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</si>
  <si>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</si>
  <si>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</si>
  <si>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</si>
  <si>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</si>
  <si>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</si>
  <si>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</si>
  <si>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</si>
  <si>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</si>
  <si>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</si>
  <si>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</si>
  <si>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</si>
  <si>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</si>
  <si>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</si>
  <si>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</si>
  <si>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</si>
  <si>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</si>
  <si>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</si>
  <si>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</si>
  <si>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</si>
  <si>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</si>
  <si>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</si>
  <si>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</si>
  <si>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</si>
  <si>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</si>
  <si>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</si>
  <si>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</si>
  <si>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</si>
  <si>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</si>
  <si>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</si>
  <si>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</si>
  <si>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</si>
  <si>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</si>
  <si>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</si>
  <si>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</si>
  <si>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</si>
  <si>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</si>
  <si>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</si>
  <si>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</si>
  <si>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</si>
  <si>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</si>
  <si>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</si>
  <si>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</si>
  <si>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</si>
  <si>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</si>
  <si>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</si>
  <si>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</si>
  <si>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</si>
  <si>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</si>
  <si>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</si>
  <si>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</si>
  <si>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</si>
  <si>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</si>
  <si>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</si>
  <si>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</si>
  <si>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</si>
  <si>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</si>
  <si>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</si>
  <si>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</si>
  <si>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</si>
  <si>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</si>
  <si>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</si>
  <si>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</si>
  <si>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</si>
  <si>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</si>
  <si>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</si>
  <si>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</si>
  <si>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</si>
  <si>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</si>
  <si>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</si>
  <si>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</si>
  <si>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</si>
  <si>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</si>
  <si>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</si>
  <si>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</si>
  <si>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</si>
  <si>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</si>
  <si>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</si>
  <si>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</si>
  <si>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</si>
  <si>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</si>
  <si>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</si>
  <si>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</si>
  <si>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</si>
  <si>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</si>
  <si>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</si>
  <si>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</si>
  <si>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</si>
  <si>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</si>
  <si>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</si>
  <si>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</si>
  <si>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</si>
  <si>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</si>
  <si>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</si>
  <si>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</si>
  <si>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</si>
  <si>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</si>
  <si>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</si>
  <si>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</si>
  <si>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</si>
  <si>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</si>
  <si>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</si>
  <si>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</si>
  <si>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</si>
  <si>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</si>
  <si>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</si>
  <si>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</si>
  <si>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</si>
  <si>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</si>
  <si>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</si>
  <si>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</si>
  <si>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</si>
  <si>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</si>
  <si>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</si>
  <si>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</si>
  <si>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</si>
  <si>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</si>
  <si>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</si>
  <si>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</si>
  <si>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</si>
  <si>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</si>
  <si>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</si>
  <si>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</si>
  <si>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</si>
  <si>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</si>
  <si>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</si>
  <si>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</si>
  <si>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</si>
  <si>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</si>
  <si>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</si>
  <si>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</si>
  <si>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</si>
  <si>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</si>
  <si>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</si>
  <si>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</si>
  <si>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</si>
  <si>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</si>
  <si>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</si>
  <si>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</si>
  <si>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</si>
  <si>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</si>
  <si>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</si>
  <si>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</si>
  <si>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</si>
  <si>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</si>
  <si>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</si>
  <si>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</si>
  <si>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</si>
  <si>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</si>
  <si>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</si>
  <si>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</si>
  <si>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</si>
  <si>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</si>
  <si>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</si>
  <si>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</si>
  <si>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</si>
  <si>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</si>
  <si>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</si>
  <si>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</si>
  <si>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</si>
  <si>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</si>
  <si>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</si>
  <si>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</si>
  <si>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</si>
  <si>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</si>
  <si>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</si>
  <si>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</si>
  <si>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</si>
  <si>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</si>
  <si>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</si>
  <si>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</si>
  <si>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</si>
  <si>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</si>
  <si>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</si>
  <si>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</si>
  <si>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</si>
  <si>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</si>
  <si>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</si>
  <si>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</si>
  <si>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</si>
  <si>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</si>
  <si>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</si>
  <si>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</si>
  <si>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</si>
  <si>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</si>
  <si>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</si>
  <si>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</si>
  <si>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</si>
  <si>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</si>
  <si>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</si>
  <si>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</si>
  <si>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</si>
  <si>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</si>
  <si>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</si>
  <si>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</si>
  <si>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</si>
  <si>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</si>
  <si>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</si>
  <si>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</si>
  <si>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</si>
  <si>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</si>
  <si>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</si>
  <si>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</si>
  <si>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</si>
  <si>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</si>
  <si>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</si>
  <si>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</si>
  <si>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</si>
  <si>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</si>
  <si>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</si>
  <si>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</si>
  <si>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</si>
  <si>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</si>
  <si>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</si>
  <si>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</si>
  <si>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</si>
  <si>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</si>
  <si>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</si>
  <si>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</si>
  <si>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</si>
  <si>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</si>
  <si>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</si>
  <si>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</si>
  <si>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</si>
  <si>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</si>
  <si>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</si>
  <si>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</si>
  <si>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</si>
  <si>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</si>
  <si>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</si>
  <si>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</si>
  <si>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</si>
  <si>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</si>
  <si>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</si>
  <si>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</si>
  <si>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</si>
  <si>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</si>
  <si>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</si>
  <si>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</si>
  <si>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</si>
  <si>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</si>
  <si>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</si>
  <si>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</si>
  <si>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</si>
  <si>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</si>
  <si>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of latrines in TLS/CFS</t>
  </si>
  <si>
    <r>
      <t xml:space="preserve"># of households receiving </t>
    </r>
    <r>
      <rPr>
        <b/>
        <u/>
        <sz val="10"/>
        <rFont val="Corbel"/>
        <family val="2"/>
      </rPr>
      <t>household water storage items</t>
    </r>
  </si>
  <si>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</si>
  <si>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</si>
  <si>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</si>
  <si>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</si>
  <si>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</si>
  <si>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</si>
  <si>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</si>
  <si>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</si>
  <si>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</si>
  <si>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</si>
  <si>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</si>
  <si>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</si>
  <si>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</si>
  <si>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</si>
  <si>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</si>
  <si>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</si>
  <si>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</si>
  <si>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</si>
  <si>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</si>
  <si>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</si>
  <si>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</si>
  <si>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</si>
  <si>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</si>
  <si>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</si>
  <si>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</si>
  <si>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</si>
  <si>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</si>
  <si>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</si>
  <si>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</si>
  <si>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</si>
  <si>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</si>
  <si>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</si>
  <si>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</si>
  <si>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</si>
  <si>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</si>
  <si>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</si>
  <si>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</si>
  <si>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</si>
  <si>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</si>
  <si>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</si>
  <si>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</si>
  <si>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</si>
  <si>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</si>
  <si>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</si>
  <si>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</si>
  <si>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</si>
  <si>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</si>
  <si>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</si>
  <si>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</si>
  <si>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</si>
  <si>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</si>
  <si>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</si>
  <si>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</si>
  <si>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</si>
  <si>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</si>
  <si>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</si>
  <si>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</si>
  <si>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</si>
  <si>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</si>
  <si>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</si>
  <si>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</si>
  <si>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</si>
  <si>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</si>
  <si>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</si>
  <si>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</si>
  <si>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</si>
  <si>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</si>
  <si>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</si>
  <si>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</si>
  <si>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</si>
  <si>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</si>
  <si>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</si>
  <si>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</si>
  <si>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</si>
  <si>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</si>
  <si>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</si>
  <si>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</si>
  <si>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</si>
  <si>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</si>
  <si>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</si>
  <si>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</si>
  <si>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</si>
  <si>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</si>
  <si>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</si>
  <si>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</si>
  <si>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</si>
  <si>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</si>
  <si>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</si>
  <si>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</si>
  <si>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</si>
  <si>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</si>
  <si>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</si>
  <si>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</si>
  <si>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</si>
  <si>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</si>
  <si>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</si>
  <si>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</si>
  <si>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</si>
  <si>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</si>
  <si>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</si>
  <si>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</si>
  <si>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</si>
  <si>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</si>
  <si>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</si>
  <si>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</si>
  <si>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</si>
  <si>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</si>
  <si>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</si>
  <si>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</si>
  <si>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</si>
  <si>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</si>
  <si>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</si>
  <si>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</si>
  <si>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</si>
  <si>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</si>
  <si>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</si>
  <si>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</si>
  <si>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</si>
  <si>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</si>
  <si>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</si>
  <si>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</si>
  <si>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</si>
  <si>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</si>
  <si>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</si>
  <si>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</si>
  <si>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</si>
  <si>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</si>
  <si>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</si>
  <si>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</si>
  <si>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</si>
  <si>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</si>
  <si>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</si>
  <si>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</si>
  <si>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</si>
  <si>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</si>
  <si>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</si>
  <si>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</si>
  <si>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</si>
  <si>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</si>
  <si>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</si>
  <si>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</si>
  <si>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</si>
  <si>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</si>
  <si>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</si>
  <si>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</si>
  <si>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</si>
  <si>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</si>
  <si>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</si>
  <si>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</si>
  <si>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</si>
  <si>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2020 HRP Calculation</t>
  </si>
  <si>
    <t xml:space="preserve">HRP 2020 Indicators </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</si>
  <si>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</si>
  <si>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</si>
  <si>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</si>
  <si>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</si>
  <si>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</si>
  <si>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</si>
  <si>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</si>
  <si>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Number of women, men, girls and boys accessing WASH services in temporary health facilities and learn-ing spaces which received support from the WASH Cluster.</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</si>
  <si>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</si>
  <si>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</si>
  <si>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</si>
  <si>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</si>
  <si>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</si>
  <si>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</si>
  <si>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</si>
  <si>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</si>
  <si>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</si>
  <si>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</si>
  <si>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</si>
  <si>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</si>
  <si>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</si>
  <si>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</si>
  <si>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</si>
  <si>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</si>
  <si>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</si>
  <si>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</si>
  <si>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</si>
  <si>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</si>
  <si>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</si>
  <si>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 Population reached by regular dedicated hygiene promotion</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</si>
  <si>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</si>
  <si>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</si>
  <si>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</si>
  <si>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</si>
  <si>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</si>
  <si>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</si>
  <si>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</si>
  <si>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</si>
  <si>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</si>
  <si>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</si>
  <si>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</si>
  <si>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</si>
  <si>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</si>
  <si>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</si>
  <si>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</si>
  <si>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</si>
  <si>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Sum of HRP1</t>
  </si>
  <si>
    <t>Sum of HRP3</t>
  </si>
  <si>
    <t># of sites</t>
  </si>
  <si>
    <t>Sum of #_Water samples_Tested_at_water_source</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</si>
  <si>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</si>
  <si>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</si>
  <si>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</si>
  <si>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</si>
  <si>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</si>
  <si>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</si>
  <si>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</si>
  <si>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</si>
  <si>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</si>
  <si>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</si>
  <si>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</si>
  <si>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</si>
  <si>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</si>
  <si>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</si>
  <si>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</si>
  <si>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</si>
  <si>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</si>
  <si>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</si>
  <si>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</si>
  <si>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</si>
  <si>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10/1/2020, 3/1/2019</t>
  </si>
  <si>
    <t>12/31/2020, 2/28/2022</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</si>
  <si>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</si>
  <si>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</si>
  <si>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</si>
  <si>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</si>
  <si>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</si>
  <si>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</si>
  <si>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</si>
  <si>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</si>
  <si>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</si>
  <si>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</si>
  <si>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</si>
  <si>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</si>
  <si>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</si>
  <si>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 HH with access to soap</t>
  </si>
  <si>
    <t>Sum of #_of_affected_households_receiving_a_sufficient_quantity_of_soap</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</si>
  <si>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</si>
  <si>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</si>
  <si>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</si>
  <si>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</si>
  <si>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</si>
  <si>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</si>
  <si>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</si>
  <si>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</si>
  <si>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</si>
  <si>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</si>
  <si>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</si>
  <si>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</si>
  <si>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</si>
  <si>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</si>
  <si>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</si>
  <si>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</si>
  <si>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r>
      <t># of litres of water supplied by water boating/trucking during water scarcity to total</t>
    </r>
    <r>
      <rPr>
        <b/>
        <sz val="10"/>
        <rFont val="Corbel"/>
        <family val="2"/>
      </rPr>
      <t xml:space="preserve"> population</t>
    </r>
    <r>
      <rPr>
        <sz val="10"/>
        <rFont val="Corbel"/>
        <family val="2"/>
      </rPr>
      <t xml:space="preserve"> in the site </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</si>
  <si>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</si>
  <si>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</si>
  <si>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</si>
  <si>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</si>
  <si>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</si>
  <si>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</si>
  <si>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</si>
  <si>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</si>
  <si>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</si>
  <si>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</si>
  <si>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</si>
  <si>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</si>
  <si>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</si>
  <si>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</si>
  <si>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</si>
  <si>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</si>
  <si>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</si>
  <si>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</si>
  <si>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</si>
  <si>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</si>
  <si>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</si>
  <si>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</si>
  <si>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</si>
  <si>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</si>
  <si>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</si>
  <si>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</si>
  <si>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</si>
  <si>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</si>
  <si>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</si>
  <si>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</si>
  <si>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</si>
  <si>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</si>
  <si>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</si>
  <si>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</si>
  <si>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</si>
  <si>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</si>
  <si>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 xml:space="preserve"># of functional </t>
    </r>
    <r>
      <rPr>
        <b/>
        <u/>
        <sz val="10"/>
        <color rgb="FFFF0000"/>
        <rFont val="Corbel"/>
        <family val="2"/>
      </rPr>
      <t>children latrines</t>
    </r>
    <r>
      <rPr>
        <sz val="10"/>
        <color rgb="FFFF0000"/>
        <rFont val="Corbel"/>
        <family val="2"/>
      </rPr>
      <t xml:space="preserve"> that meet design requirements in the site operating during reporting period</t>
    </r>
  </si>
  <si>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</si>
  <si>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</si>
  <si>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</si>
  <si>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</si>
  <si>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</si>
  <si>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</si>
  <si>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</si>
  <si>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</si>
  <si>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</si>
  <si>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</si>
  <si>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</si>
  <si>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</si>
  <si>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of people (students,teachers) who accessed functional water points or water provision supported by WASH partners in  TLS (Temporary Learning Space)  during the reporting period
#  of people who accessed functional water points or water provision supported by WASH partners in THF (Temporary Health Facility)  during the reporting period
# of functional latrines in TLS/CFS supported by WASH partners during the reporting period
# of functional latrines in THF (Temporary Health Facility) supported by WASH partners during the reporting period</t>
  </si>
  <si>
    <t>V25, 26, 37, 38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</si>
  <si>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</si>
  <si>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</si>
  <si>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</si>
  <si>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</si>
  <si>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</si>
  <si>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</si>
  <si>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</si>
  <si>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</si>
  <si>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</si>
  <si>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</si>
  <si>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</si>
  <si>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</si>
  <si>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Sum of #_of_latrines_desludged </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</si>
  <si>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</si>
  <si>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</si>
  <si>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</si>
  <si>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</si>
  <si>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</si>
  <si>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</si>
  <si>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</si>
  <si>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</si>
  <si>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</si>
  <si>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</si>
  <si>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</si>
  <si>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</si>
  <si>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2021-4th Qtr 4W Camp DASHBOARD</t>
  </si>
  <si>
    <t>amount of MMK/Voucher or Token distributed per HH/Family</t>
  </si>
  <si>
    <t># of Family/HH Reached</t>
  </si>
  <si>
    <t>Date of Cash distribution</t>
  </si>
  <si>
    <t>Cash distributed for which items ( Hygiene kits, Hygiene items, Sanitary pads, Others…..)</t>
  </si>
  <si>
    <t>CASH</t>
  </si>
  <si>
    <t>4W Activities (2022)</t>
  </si>
  <si>
    <t>Date</t>
  </si>
  <si>
    <t>amount_of_MMK/Voucher_or_Token_distributed_per_HH/Family</t>
  </si>
  <si>
    <t>#_of_Family/HH_Reached</t>
  </si>
  <si>
    <t>Date_of_Cash_distribution</t>
  </si>
  <si>
    <t>Cash_distributed_for_which_items</t>
  </si>
  <si>
    <t>2022_Q1</t>
  </si>
  <si>
    <t>2022_Q2</t>
  </si>
  <si>
    <t>2022_Q3</t>
  </si>
  <si>
    <t>2022_Q4</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</si>
  <si>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</si>
  <si>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</si>
  <si>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CDA provided 367 UNICEF Logo bucket (20 liter and 10 liters) to Kyauk Talone camp in March 2022.</t>
  </si>
  <si>
    <t>10% of women complained this PD sanitation pad because these pads are thin and not confortable  for day using but better using for night time.</t>
  </si>
  <si>
    <t>The result of percentage indicators were from the KAP survey conducted in Sep 2021. The next survey will be done in April 2022.</t>
  </si>
  <si>
    <t>Distribution done in March covering 3 months</t>
  </si>
  <si>
    <t xml:space="preserve"> ,</t>
  </si>
  <si>
    <t>Distribution done in March covering 2 months</t>
  </si>
  <si>
    <t>Distribution done March covering 3 months</t>
  </si>
  <si>
    <t>water testing in STM- IDP, we distributed chlorination water and tested FRC result is 100&amp; good.</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</si>
  <si>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</si>
  <si>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</si>
  <si>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</si>
  <si>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</si>
  <si>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</si>
  <si>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</si>
  <si>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</si>
  <si>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</si>
  <si>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</si>
  <si>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</si>
  <si>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</si>
  <si>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</si>
  <si>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</si>
  <si>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</si>
  <si>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</si>
  <si>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</si>
  <si>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</si>
  <si>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</si>
  <si>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</si>
  <si>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</si>
  <si>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</si>
  <si>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RAKHINE STATE - IDP sites  (2022 - Qtr 1 - 4W Analysis, as of 31 March 2022)</t>
  </si>
  <si>
    <t>Calculated Field</t>
  </si>
  <si>
    <t>Solve Order</t>
  </si>
  <si>
    <t>Field</t>
  </si>
  <si>
    <t>Formula</t>
  </si>
  <si>
    <t>% Hygiene Gap</t>
  </si>
  <si>
    <t>= 1-#NAME?</t>
  </si>
  <si>
    <t>% Hygiene Coverage</t>
  </si>
  <si>
    <t>=IF(HRP3/'Total PoP '&gt;1,1,HRP3/'Total PoP ')</t>
  </si>
  <si>
    <t>% Water Coverage</t>
  </si>
  <si>
    <t>=HRP1/'Total PoP '</t>
  </si>
  <si>
    <t>% Water GAP</t>
  </si>
  <si>
    <t>= 1-'% Water Coverage'</t>
  </si>
  <si>
    <t>% Sanitation Coverage</t>
  </si>
  <si>
    <t>=HRP2/'Total PoP '</t>
  </si>
  <si>
    <t>% Sanitation GAP</t>
  </si>
  <si>
    <t>= 1-'% Sanitation Coverage'</t>
  </si>
  <si>
    <t xml:space="preserve">Proportional mobidity of Acute watery diarrhea </t>
  </si>
  <si>
    <t>='Cases of Acute watery diarrhea'/'Total consultations'</t>
  </si>
  <si>
    <t>Latrines_Gap</t>
  </si>
  <si>
    <t>='Total required Latrines'-'#_Functional_adult_latrines'</t>
  </si>
  <si>
    <t>Calculated Item</t>
  </si>
  <si>
    <t>Item</t>
  </si>
  <si>
    <t>Note:</t>
  </si>
  <si>
    <t>When a cell is updated by more than one formula,</t>
  </si>
  <si>
    <t>the value is set by the formula with the last solve order.</t>
  </si>
  <si>
    <t>To change the solve order for multiple calculated items or fields,</t>
  </si>
  <si>
    <t>on the Options tab, in the Calculations group, click Fields, Items, &amp; Sets, and then click Solve Order.</t>
  </si>
  <si>
    <t>36</t>
  </si>
  <si>
    <t>84</t>
  </si>
  <si>
    <t># in active camps (20:1)</t>
  </si>
  <si>
    <t>Sum of # people access to functioning latrines in THF_HRP6</t>
  </si>
  <si>
    <t>nRS
(Stateless)</t>
  </si>
  <si>
    <t>nRS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</si>
</sst>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0">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6" tint="-0.249977111117893"/>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b/>
      <i/>
      <sz val="12"/>
      <color theme="1"/>
      <name val="Times New Roman"/>
      <family val="2"/>
    </font>
  </fonts>
  <fills count="61">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s>
  <borders count="173">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style="double">
        <color rgb="FFFF0000"/>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double">
        <color rgb="FFFF0000"/>
      </left>
      <right style="medium">
        <color rgb="FF0070C0"/>
      </right>
      <top style="thin">
        <color rgb="FF0070C0"/>
      </top>
      <bottom style="double">
        <color rgb="FFFF0000"/>
      </bottom>
      <diagonal/>
    </border>
    <border>
      <left style="thin">
        <color rgb="FF0070C0"/>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double">
        <color rgb="FFFF0000"/>
      </left>
      <right/>
      <top style="thin">
        <color rgb="FF0070C0"/>
      </top>
      <bottom/>
      <diagonal/>
    </border>
    <border>
      <left style="thin">
        <color rgb="FF0070C0"/>
      </left>
      <right/>
      <top style="thin">
        <color rgb="FF0070C0"/>
      </top>
      <bottom/>
      <diagonal/>
    </border>
    <border>
      <left style="thin">
        <color rgb="FF0070C0"/>
      </left>
      <right/>
      <top style="thin">
        <color rgb="FF0070C0"/>
      </top>
      <bottom style="double">
        <color rgb="FFFF0000"/>
      </bottom>
      <diagonal/>
    </border>
    <border>
      <left style="double">
        <color rgb="FFFF0000"/>
      </left>
      <right style="medium">
        <color rgb="FF0070C0"/>
      </right>
      <top style="thin">
        <color rgb="FF0070C0"/>
      </top>
      <bottom style="thin">
        <color rgb="FF0070C0"/>
      </bottom>
      <diagonal/>
    </border>
    <border>
      <left/>
      <right/>
      <top/>
      <bottom style="thin">
        <color indexed="8"/>
      </bottom>
      <diagonal/>
    </border>
    <border>
      <left/>
      <right style="double">
        <color rgb="FFFF0000"/>
      </right>
      <top style="double">
        <color rgb="FFFF0000"/>
      </top>
      <bottom style="thin">
        <color rgb="FF0070C0"/>
      </bottom>
      <diagonal/>
    </border>
  </borders>
  <cellStyleXfs count="43">
    <xf numFmtId="0" fontId="0" fillId="0" borderId="0"/>
    <xf numFmtId="9" fontId="19" fillId="0" borderId="0" applyFont="0" applyFill="0" applyBorder="0" applyAlignment="0" applyProtection="0"/>
    <xf numFmtId="0" fontId="20" fillId="0" borderId="0"/>
    <xf numFmtId="9"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20" fillId="0" borderId="0" applyFont="0" applyFill="0" applyBorder="0" applyAlignment="0" applyProtection="0"/>
    <xf numFmtId="166" fontId="20" fillId="0" borderId="0"/>
    <xf numFmtId="0" fontId="46" fillId="0" borderId="0"/>
    <xf numFmtId="0" fontId="46" fillId="0" borderId="0"/>
    <xf numFmtId="0" fontId="18" fillId="0" borderId="0"/>
    <xf numFmtId="9" fontId="18" fillId="0" borderId="0" applyFont="0" applyFill="0" applyBorder="0" applyAlignment="0" applyProtection="0"/>
    <xf numFmtId="0" fontId="68" fillId="0" borderId="27" applyNumberFormat="0" applyFill="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166" fontId="16" fillId="0" borderId="0"/>
    <xf numFmtId="0" fontId="17" fillId="0" borderId="0"/>
    <xf numFmtId="9" fontId="17" fillId="0" borderId="0" applyFont="0" applyFill="0" applyBorder="0" applyAlignment="0" applyProtection="0"/>
    <xf numFmtId="0" fontId="46" fillId="0" borderId="0"/>
    <xf numFmtId="0" fontId="19" fillId="0" borderId="0"/>
    <xf numFmtId="0" fontId="51" fillId="24" borderId="0" applyNumberFormat="0" applyBorder="0" applyAlignment="0" applyProtection="0"/>
    <xf numFmtId="0" fontId="52" fillId="25" borderId="0" applyNumberFormat="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cellStyleXfs>
  <cellXfs count="1017">
    <xf numFmtId="0" fontId="0" fillId="0" borderId="0" xfId="0"/>
    <xf numFmtId="0" fontId="23" fillId="2" borderId="1" xfId="0" applyFont="1" applyFill="1" applyBorder="1" applyAlignment="1">
      <alignment horizontal="left" vertical="center" readingOrder="1"/>
    </xf>
    <xf numFmtId="0" fontId="23" fillId="5" borderId="2" xfId="0" applyFont="1" applyFill="1" applyBorder="1" applyAlignment="1">
      <alignment horizontal="left" vertical="center" readingOrder="1"/>
    </xf>
    <xf numFmtId="0" fontId="23" fillId="8" borderId="2" xfId="0" applyFont="1" applyFill="1" applyBorder="1" applyAlignment="1">
      <alignment horizontal="left" vertical="center" readingOrder="1"/>
    </xf>
    <xf numFmtId="0" fontId="23" fillId="8" borderId="3" xfId="0" applyFont="1" applyFill="1" applyBorder="1" applyAlignment="1">
      <alignment horizontal="left" vertical="center" readingOrder="1"/>
    </xf>
    <xf numFmtId="0" fontId="23" fillId="9" borderId="2" xfId="0" applyFont="1" applyFill="1" applyBorder="1" applyAlignment="1">
      <alignment horizontal="left" vertical="center" readingOrder="1"/>
    </xf>
    <xf numFmtId="0" fontId="24" fillId="3" borderId="1" xfId="0" applyFont="1" applyFill="1" applyBorder="1" applyAlignment="1">
      <alignment horizontal="left" vertical="center" readingOrder="1"/>
    </xf>
    <xf numFmtId="0" fontId="24" fillId="4" borderId="2" xfId="0" applyFont="1" applyFill="1" applyBorder="1" applyAlignment="1">
      <alignment horizontal="left" vertical="center" readingOrder="1"/>
    </xf>
    <xf numFmtId="0" fontId="24" fillId="3" borderId="2" xfId="0" applyFont="1" applyFill="1" applyBorder="1" applyAlignment="1">
      <alignment horizontal="left" vertical="center" readingOrder="1"/>
    </xf>
    <xf numFmtId="0" fontId="24" fillId="3" borderId="3" xfId="0" applyFont="1" applyFill="1" applyBorder="1" applyAlignment="1">
      <alignment horizontal="left" vertical="center" readingOrder="1"/>
    </xf>
    <xf numFmtId="14" fontId="24" fillId="3" borderId="2" xfId="0" applyNumberFormat="1" applyFont="1" applyFill="1" applyBorder="1" applyAlignment="1">
      <alignment horizontal="left" vertical="center" readingOrder="1"/>
    </xf>
    <xf numFmtId="14" fontId="24" fillId="6" borderId="2" xfId="0" applyNumberFormat="1" applyFont="1" applyFill="1" applyBorder="1" applyAlignment="1">
      <alignment horizontal="left" vertical="center" readingOrder="1"/>
    </xf>
    <xf numFmtId="0" fontId="24" fillId="7" borderId="2" xfId="0" applyFont="1" applyFill="1" applyBorder="1" applyAlignment="1">
      <alignment horizontal="left" vertical="center" readingOrder="1"/>
    </xf>
    <xf numFmtId="0" fontId="27" fillId="7" borderId="2" xfId="0" applyFont="1" applyFill="1" applyBorder="1" applyAlignment="1">
      <alignment horizontal="left" vertical="top" wrapText="1" readingOrder="1"/>
    </xf>
    <xf numFmtId="14" fontId="27" fillId="6" borderId="1" xfId="0" applyNumberFormat="1" applyFont="1" applyFill="1" applyBorder="1" applyAlignment="1">
      <alignment horizontal="left" vertical="top" wrapText="1" readingOrder="1"/>
    </xf>
    <xf numFmtId="9" fontId="24" fillId="3" borderId="2" xfId="1" applyFont="1" applyFill="1" applyBorder="1" applyAlignment="1">
      <alignment horizontal="left" vertical="center" readingOrder="1"/>
    </xf>
    <xf numFmtId="9" fontId="24" fillId="6" borderId="1" xfId="1" applyFont="1" applyFill="1" applyBorder="1" applyAlignment="1">
      <alignment horizontal="left" vertical="top" wrapText="1" readingOrder="1"/>
    </xf>
    <xf numFmtId="0" fontId="32" fillId="0" borderId="0" xfId="0" applyFont="1"/>
    <xf numFmtId="0" fontId="30" fillId="0" borderId="0" xfId="0" applyFont="1"/>
    <xf numFmtId="0" fontId="35" fillId="0" borderId="0" xfId="0" applyFont="1" applyAlignment="1"/>
    <xf numFmtId="0" fontId="35" fillId="0" borderId="0" xfId="0" applyFont="1" applyFill="1" applyAlignment="1"/>
    <xf numFmtId="166" fontId="20" fillId="13" borderId="0" xfId="8" applyFill="1"/>
    <xf numFmtId="166" fontId="20" fillId="13" borderId="0" xfId="8" applyFill="1" applyAlignment="1">
      <alignment horizontal="center" vertical="center"/>
    </xf>
    <xf numFmtId="166" fontId="20" fillId="20" borderId="8" xfId="8" applyFill="1" applyBorder="1"/>
    <xf numFmtId="166" fontId="20" fillId="20" borderId="0" xfId="8" applyFill="1" applyBorder="1"/>
    <xf numFmtId="166" fontId="20" fillId="20" borderId="9" xfId="8" applyFill="1" applyBorder="1"/>
    <xf numFmtId="166" fontId="29" fillId="20" borderId="0" xfId="8" applyFont="1" applyFill="1" applyBorder="1"/>
    <xf numFmtId="166" fontId="20" fillId="20" borderId="10" xfId="8" applyFill="1" applyBorder="1"/>
    <xf numFmtId="166" fontId="20" fillId="20" borderId="11" xfId="8" applyFill="1" applyBorder="1"/>
    <xf numFmtId="166" fontId="20" fillId="20" borderId="12" xfId="8" applyFill="1" applyBorder="1"/>
    <xf numFmtId="0" fontId="24" fillId="0" borderId="0" xfId="0" applyFont="1" applyFill="1" applyBorder="1" applyAlignment="1">
      <alignment horizontal="left" vertical="center" readingOrder="1"/>
    </xf>
    <xf numFmtId="9" fontId="35" fillId="0" borderId="0" xfId="0" applyNumberFormat="1" applyFont="1" applyFill="1" applyAlignment="1"/>
    <xf numFmtId="9" fontId="35" fillId="0" borderId="0" xfId="1" applyFont="1" applyFill="1" applyAlignment="1"/>
    <xf numFmtId="1" fontId="35" fillId="0" borderId="0" xfId="0" applyNumberFormat="1" applyFont="1" applyFill="1" applyAlignment="1"/>
    <xf numFmtId="14" fontId="35" fillId="0" borderId="0" xfId="0" applyNumberFormat="1" applyFont="1" applyFill="1" applyAlignment="1"/>
    <xf numFmtId="1" fontId="35" fillId="0" borderId="0" xfId="1" applyNumberFormat="1" applyFont="1" applyFill="1" applyAlignment="1"/>
    <xf numFmtId="0" fontId="35" fillId="0" borderId="0" xfId="1" applyNumberFormat="1" applyFont="1" applyFill="1" applyAlignment="1"/>
    <xf numFmtId="0" fontId="35" fillId="0" borderId="0" xfId="0" applyNumberFormat="1" applyFont="1" applyFill="1" applyAlignment="1"/>
    <xf numFmtId="1" fontId="35" fillId="0" borderId="0" xfId="0" applyNumberFormat="1" applyFont="1" applyFill="1" applyAlignment="1">
      <alignment horizontal="left"/>
    </xf>
    <xf numFmtId="0" fontId="24" fillId="3" borderId="0" xfId="0" applyFont="1" applyFill="1" applyBorder="1" applyAlignment="1">
      <alignment horizontal="left" vertical="center" readingOrder="1"/>
    </xf>
    <xf numFmtId="0" fontId="24" fillId="0" borderId="1" xfId="0" applyFont="1" applyFill="1" applyBorder="1" applyAlignment="1">
      <alignment horizontal="left" vertical="center" readingOrder="1"/>
    </xf>
    <xf numFmtId="14" fontId="24" fillId="3" borderId="18" xfId="0" applyNumberFormat="1" applyFont="1" applyFill="1" applyBorder="1" applyAlignment="1">
      <alignment horizontal="left" vertical="center" readingOrder="1"/>
    </xf>
    <xf numFmtId="0" fontId="32" fillId="0" borderId="0" xfId="0" applyNumberFormat="1" applyFont="1"/>
    <xf numFmtId="1" fontId="32" fillId="0" borderId="0" xfId="0" applyNumberFormat="1" applyFont="1"/>
    <xf numFmtId="0" fontId="32" fillId="0" borderId="0" xfId="0" applyFont="1" applyAlignment="1">
      <alignment wrapText="1" readingOrder="1"/>
    </xf>
    <xf numFmtId="0" fontId="24" fillId="7" borderId="0" xfId="0" applyFont="1" applyFill="1" applyBorder="1" applyAlignment="1">
      <alignment horizontal="left" vertical="center" readingOrder="1"/>
    </xf>
    <xf numFmtId="0" fontId="23" fillId="9" borderId="15" xfId="0" applyFont="1" applyFill="1" applyBorder="1" applyAlignment="1">
      <alignment horizontal="left" vertical="center" readingOrder="1"/>
    </xf>
    <xf numFmtId="0" fontId="24" fillId="7" borderId="15" xfId="0" applyFont="1" applyFill="1" applyBorder="1" applyAlignment="1">
      <alignment horizontal="left" vertical="center" readingOrder="1"/>
    </xf>
    <xf numFmtId="0" fontId="49" fillId="2" borderId="1" xfId="0" applyFont="1" applyFill="1" applyBorder="1" applyAlignment="1">
      <alignment horizontal="left" vertical="center" readingOrder="1"/>
    </xf>
    <xf numFmtId="14" fontId="50" fillId="6" borderId="2" xfId="0" applyNumberFormat="1" applyFont="1" applyFill="1" applyBorder="1" applyAlignment="1">
      <alignment horizontal="left" vertical="center" readingOrder="1"/>
    </xf>
    <xf numFmtId="14" fontId="49" fillId="6" borderId="1" xfId="0" applyNumberFormat="1" applyFont="1" applyFill="1" applyBorder="1" applyAlignment="1">
      <alignment horizontal="left" vertical="top" wrapText="1" readingOrder="1"/>
    </xf>
    <xf numFmtId="0" fontId="50" fillId="3" borderId="2" xfId="0" applyFont="1" applyFill="1" applyBorder="1" applyAlignment="1">
      <alignment horizontal="left" vertical="center" readingOrder="1"/>
    </xf>
    <xf numFmtId="0" fontId="50" fillId="7" borderId="2" xfId="0" applyFont="1" applyFill="1" applyBorder="1" applyAlignment="1">
      <alignment horizontal="left" vertical="center" readingOrder="1"/>
    </xf>
    <xf numFmtId="0" fontId="50" fillId="7" borderId="2" xfId="0" applyFont="1" applyFill="1" applyBorder="1" applyAlignment="1">
      <alignment horizontal="left" vertical="top" wrapText="1" readingOrder="1"/>
    </xf>
    <xf numFmtId="0" fontId="24" fillId="3" borderId="16" xfId="0" applyFont="1" applyFill="1" applyBorder="1" applyAlignment="1">
      <alignment horizontal="left" vertical="center" readingOrder="1"/>
    </xf>
    <xf numFmtId="0" fontId="27" fillId="7" borderId="15" xfId="0" applyFont="1" applyFill="1" applyBorder="1" applyAlignment="1">
      <alignment horizontal="left" vertical="top" wrapText="1" readingOrder="1"/>
    </xf>
    <xf numFmtId="0" fontId="24" fillId="3" borderId="15" xfId="0" applyFont="1" applyFill="1" applyBorder="1" applyAlignment="1">
      <alignment horizontal="left" vertical="center" readingOrder="1"/>
    </xf>
    <xf numFmtId="0" fontId="66" fillId="0" borderId="0" xfId="0" applyFont="1"/>
    <xf numFmtId="0" fontId="66" fillId="0" borderId="0" xfId="0" applyFont="1" applyAlignment="1">
      <alignment wrapText="1"/>
    </xf>
    <xf numFmtId="164" fontId="66" fillId="0" borderId="0" xfId="0" applyNumberFormat="1" applyFont="1"/>
    <xf numFmtId="0" fontId="30" fillId="0" borderId="21" xfId="0" applyFont="1" applyFill="1" applyBorder="1"/>
    <xf numFmtId="0" fontId="30" fillId="0" borderId="26" xfId="0" applyFont="1" applyFill="1" applyBorder="1"/>
    <xf numFmtId="0" fontId="30" fillId="0" borderId="24" xfId="0" applyFont="1" applyFill="1" applyBorder="1"/>
    <xf numFmtId="0" fontId="30" fillId="0" borderId="0" xfId="0" applyFont="1" applyBorder="1"/>
    <xf numFmtId="0" fontId="50" fillId="0" borderId="0" xfId="0" applyFont="1"/>
    <xf numFmtId="0" fontId="50" fillId="0" borderId="0" xfId="0" applyFont="1" applyAlignment="1"/>
    <xf numFmtId="0" fontId="32" fillId="0" borderId="0" xfId="0" applyNumberFormat="1" applyFont="1" applyAlignment="1">
      <alignment wrapText="1"/>
    </xf>
    <xf numFmtId="0" fontId="32" fillId="0" borderId="0" xfId="0" applyFont="1" applyFill="1"/>
    <xf numFmtId="14" fontId="39" fillId="16" borderId="0" xfId="0" applyNumberFormat="1" applyFont="1" applyFill="1" applyBorder="1" applyAlignment="1">
      <alignment horizontal="left"/>
    </xf>
    <xf numFmtId="9" fontId="70" fillId="23" borderId="0" xfId="0" applyNumberFormat="1" applyFont="1" applyFill="1" applyBorder="1" applyAlignment="1">
      <alignment vertical="center"/>
    </xf>
    <xf numFmtId="0" fontId="32" fillId="0" borderId="0" xfId="0" applyFont="1" applyFill="1" applyBorder="1"/>
    <xf numFmtId="1" fontId="70" fillId="23" borderId="0" xfId="0" applyNumberFormat="1" applyFont="1" applyFill="1" applyBorder="1" applyAlignment="1">
      <alignment vertical="center"/>
    </xf>
    <xf numFmtId="0" fontId="67" fillId="0" borderId="30" xfId="0" applyFont="1" applyBorder="1" applyAlignment="1">
      <alignment horizontal="center" vertical="center"/>
    </xf>
    <xf numFmtId="0" fontId="74" fillId="13" borderId="32" xfId="0" applyFont="1" applyFill="1" applyBorder="1" applyAlignment="1">
      <alignment horizontal="center" vertical="center" wrapText="1"/>
    </xf>
    <xf numFmtId="0" fontId="72" fillId="8" borderId="23" xfId="0" applyFont="1" applyFill="1" applyBorder="1" applyAlignment="1">
      <alignment horizontal="center" vertical="center" wrapText="1"/>
    </xf>
    <xf numFmtId="0" fontId="72" fillId="36" borderId="23" xfId="0" applyFont="1" applyFill="1" applyBorder="1" applyAlignment="1">
      <alignment horizontal="center" vertical="center" wrapText="1"/>
    </xf>
    <xf numFmtId="0" fontId="0" fillId="0" borderId="23" xfId="0" applyBorder="1"/>
    <xf numFmtId="0" fontId="66" fillId="0" borderId="23" xfId="0" applyFont="1" applyBorder="1"/>
    <xf numFmtId="0" fontId="72" fillId="14" borderId="23" xfId="0" applyFont="1" applyFill="1" applyBorder="1" applyAlignment="1">
      <alignment horizontal="center" vertical="center" wrapText="1"/>
    </xf>
    <xf numFmtId="0" fontId="0" fillId="37" borderId="23" xfId="0" applyFill="1" applyBorder="1"/>
    <xf numFmtId="164" fontId="72" fillId="14" borderId="23" xfId="4" applyNumberFormat="1" applyFont="1" applyFill="1" applyBorder="1" applyAlignment="1">
      <alignment horizontal="right" vertical="center"/>
    </xf>
    <xf numFmtId="164" fontId="72" fillId="8" borderId="23" xfId="4" applyNumberFormat="1" applyFont="1" applyFill="1" applyBorder="1" applyAlignment="1">
      <alignment horizontal="right" vertical="center"/>
    </xf>
    <xf numFmtId="164" fontId="72" fillId="36" borderId="23" xfId="4" applyNumberFormat="1" applyFont="1" applyFill="1" applyBorder="1" applyAlignment="1">
      <alignment horizontal="right" vertical="center"/>
    </xf>
    <xf numFmtId="166" fontId="16" fillId="20" borderId="0" xfId="8" applyFont="1" applyFill="1" applyBorder="1"/>
    <xf numFmtId="0" fontId="66" fillId="0" borderId="0" xfId="0" applyFont="1" applyAlignment="1">
      <alignment horizontal="center" vertical="center" wrapText="1"/>
    </xf>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0" fillId="0" borderId="0" xfId="0" applyFill="1"/>
    <xf numFmtId="14" fontId="32" fillId="0" borderId="0" xfId="0" applyNumberFormat="1" applyFont="1"/>
    <xf numFmtId="165" fontId="32" fillId="0" borderId="0" xfId="0" applyNumberFormat="1" applyFont="1"/>
    <xf numFmtId="165" fontId="32" fillId="0" borderId="0" xfId="0" applyNumberFormat="1" applyFont="1" applyFill="1"/>
    <xf numFmtId="0" fontId="77" fillId="8" borderId="0" xfId="0" applyFont="1" applyFill="1"/>
    <xf numFmtId="0" fontId="77" fillId="38" borderId="0" xfId="0" applyFont="1" applyFill="1"/>
    <xf numFmtId="0" fontId="16" fillId="0" borderId="0" xfId="0" applyFont="1"/>
    <xf numFmtId="0" fontId="29" fillId="0" borderId="0" xfId="0" applyFont="1"/>
    <xf numFmtId="0" fontId="16" fillId="0" borderId="0" xfId="0" applyFont="1" applyAlignment="1">
      <alignment horizontal="left"/>
    </xf>
    <xf numFmtId="9" fontId="16" fillId="0" borderId="0" xfId="0" applyNumberFormat="1" applyFont="1"/>
    <xf numFmtId="0" fontId="16" fillId="0" borderId="0" xfId="0" applyNumberFormat="1" applyFont="1"/>
    <xf numFmtId="0" fontId="16" fillId="0" borderId="0" xfId="0" applyFont="1" applyAlignment="1">
      <alignment wrapText="1"/>
    </xf>
    <xf numFmtId="164" fontId="16" fillId="0" borderId="0" xfId="0" applyNumberFormat="1" applyFont="1"/>
    <xf numFmtId="0" fontId="79" fillId="0" borderId="0" xfId="0" applyFont="1"/>
    <xf numFmtId="0" fontId="78" fillId="14" borderId="0" xfId="0" applyFont="1" applyFill="1"/>
    <xf numFmtId="1" fontId="16" fillId="0" borderId="0" xfId="0" applyNumberFormat="1" applyFont="1"/>
    <xf numFmtId="0" fontId="29" fillId="0" borderId="30" xfId="0" applyFont="1" applyBorder="1" applyAlignment="1">
      <alignment wrapText="1"/>
    </xf>
    <xf numFmtId="0" fontId="80" fillId="0" borderId="33" xfId="0" applyFont="1" applyBorder="1" applyAlignment="1">
      <alignment horizontal="left"/>
    </xf>
    <xf numFmtId="0" fontId="80" fillId="0" borderId="35" xfId="0" applyFont="1" applyBorder="1" applyAlignment="1">
      <alignment horizontal="left"/>
    </xf>
    <xf numFmtId="0" fontId="29" fillId="0" borderId="31" xfId="0" applyFont="1" applyBorder="1"/>
    <xf numFmtId="0" fontId="29" fillId="0" borderId="32" xfId="0" applyFont="1" applyBorder="1"/>
    <xf numFmtId="0" fontId="80" fillId="0" borderId="29" xfId="0" applyNumberFormat="1" applyFont="1" applyBorder="1"/>
    <xf numFmtId="0" fontId="80" fillId="0" borderId="34" xfId="0" applyNumberFormat="1" applyFont="1" applyBorder="1"/>
    <xf numFmtId="0" fontId="80" fillId="0" borderId="36" xfId="0" applyNumberFormat="1" applyFont="1" applyBorder="1"/>
    <xf numFmtId="0" fontId="80" fillId="0" borderId="37" xfId="0" applyNumberFormat="1" applyFont="1" applyBorder="1"/>
    <xf numFmtId="0" fontId="16" fillId="0" borderId="0" xfId="0" applyFont="1" applyFill="1"/>
    <xf numFmtId="0" fontId="16" fillId="0" borderId="0" xfId="0" applyFont="1" applyFill="1" applyBorder="1" applyAlignment="1">
      <alignment horizontal="left"/>
    </xf>
    <xf numFmtId="0" fontId="16" fillId="0" borderId="0" xfId="0" applyNumberFormat="1" applyFont="1" applyFill="1" applyBorder="1"/>
    <xf numFmtId="9" fontId="16" fillId="0" borderId="0" xfId="0" applyNumberFormat="1" applyFont="1" applyFill="1"/>
    <xf numFmtId="0" fontId="16" fillId="0" borderId="0" xfId="0" applyNumberFormat="1" applyFont="1" applyFill="1"/>
    <xf numFmtId="0" fontId="16" fillId="19" borderId="0" xfId="0" applyFont="1" applyFill="1"/>
    <xf numFmtId="164" fontId="16" fillId="0" borderId="0" xfId="4" applyNumberFormat="1" applyFont="1"/>
    <xf numFmtId="0" fontId="16" fillId="34" borderId="0" xfId="0" applyFont="1" applyFill="1"/>
    <xf numFmtId="0" fontId="29" fillId="10" borderId="0" xfId="0" applyFont="1" applyFill="1"/>
    <xf numFmtId="0" fontId="80" fillId="0" borderId="41" xfId="0" applyFont="1" applyBorder="1" applyAlignment="1">
      <alignment horizontal="left"/>
    </xf>
    <xf numFmtId="0" fontId="77" fillId="8" borderId="0" xfId="0" applyFont="1" applyFill="1" applyAlignment="1">
      <alignment horizontal="left"/>
    </xf>
    <xf numFmtId="9" fontId="77" fillId="8" borderId="0" xfId="0" applyNumberFormat="1" applyFont="1" applyFill="1"/>
    <xf numFmtId="0" fontId="77" fillId="8" borderId="0" xfId="0" applyNumberFormat="1" applyFont="1" applyFill="1"/>
    <xf numFmtId="0" fontId="75" fillId="0" borderId="0" xfId="0" applyFont="1"/>
    <xf numFmtId="0" fontId="69" fillId="0" borderId="0" xfId="0" applyFont="1"/>
    <xf numFmtId="0" fontId="78" fillId="29" borderId="44" xfId="0" applyFont="1" applyFill="1" applyBorder="1"/>
    <xf numFmtId="164" fontId="29" fillId="0" borderId="45" xfId="4" applyNumberFormat="1" applyFont="1" applyBorder="1"/>
    <xf numFmtId="164" fontId="81" fillId="0" borderId="46" xfId="4" applyNumberFormat="1" applyFont="1" applyBorder="1" applyAlignment="1">
      <alignment horizontal="left" wrapText="1"/>
    </xf>
    <xf numFmtId="164" fontId="81" fillId="0" borderId="43" xfId="4" applyNumberFormat="1" applyFont="1" applyBorder="1" applyAlignment="1">
      <alignment horizontal="left" wrapText="1"/>
    </xf>
    <xf numFmtId="0" fontId="81" fillId="0" borderId="47" xfId="0" applyFont="1" applyBorder="1" applyAlignment="1">
      <alignment horizontal="left"/>
    </xf>
    <xf numFmtId="0" fontId="81" fillId="0" borderId="0" xfId="0" applyFont="1" applyBorder="1" applyAlignment="1">
      <alignment horizontal="left"/>
    </xf>
    <xf numFmtId="0" fontId="81" fillId="0" borderId="0" xfId="0" applyNumberFormat="1" applyFont="1" applyBorder="1"/>
    <xf numFmtId="0" fontId="16" fillId="0" borderId="50" xfId="0" applyFont="1" applyBorder="1" applyAlignment="1">
      <alignment horizontal="left"/>
    </xf>
    <xf numFmtId="0" fontId="16" fillId="0" borderId="50" xfId="0" applyNumberFormat="1" applyFont="1" applyBorder="1"/>
    <xf numFmtId="0" fontId="16" fillId="0" borderId="55" xfId="0" applyNumberFormat="1" applyFont="1" applyBorder="1"/>
    <xf numFmtId="0" fontId="82" fillId="39" borderId="51" xfId="0" applyFont="1" applyFill="1" applyBorder="1"/>
    <xf numFmtId="0" fontId="82" fillId="9" borderId="0" xfId="0" applyFont="1" applyFill="1"/>
    <xf numFmtId="0" fontId="78" fillId="32" borderId="0" xfId="0" applyFont="1" applyFill="1"/>
    <xf numFmtId="0" fontId="77" fillId="14" borderId="0" xfId="0" applyFont="1" applyFill="1"/>
    <xf numFmtId="0" fontId="77" fillId="9" borderId="0" xfId="0" applyFont="1" applyFill="1"/>
    <xf numFmtId="0" fontId="75" fillId="34" borderId="0" xfId="0" applyFont="1" applyFill="1"/>
    <xf numFmtId="0" fontId="77" fillId="32" borderId="0" xfId="0" applyFont="1" applyFill="1"/>
    <xf numFmtId="0" fontId="75" fillId="10" borderId="0" xfId="0" applyFont="1" applyFill="1"/>
    <xf numFmtId="0" fontId="83" fillId="0" borderId="0" xfId="0" applyFont="1"/>
    <xf numFmtId="0" fontId="39" fillId="21" borderId="0" xfId="1" applyNumberFormat="1" applyFont="1" applyFill="1" applyBorder="1" applyAlignment="1">
      <alignment horizontal="center"/>
    </xf>
    <xf numFmtId="0" fontId="39" fillId="21" borderId="0" xfId="0" applyNumberFormat="1" applyFont="1" applyFill="1" applyBorder="1" applyAlignment="1">
      <alignment horizontal="center"/>
    </xf>
    <xf numFmtId="0" fontId="66" fillId="0" borderId="0" xfId="0" applyFont="1" applyFill="1"/>
    <xf numFmtId="0" fontId="84" fillId="26" borderId="56" xfId="0" applyFont="1" applyFill="1" applyBorder="1"/>
    <xf numFmtId="0" fontId="77" fillId="41" borderId="0" xfId="0" applyFont="1" applyFill="1" applyAlignment="1">
      <alignment vertical="center"/>
    </xf>
    <xf numFmtId="1" fontId="85" fillId="0" borderId="0" xfId="0" applyNumberFormat="1" applyFont="1" applyFill="1"/>
    <xf numFmtId="0" fontId="85" fillId="0" borderId="0" xfId="0" applyFont="1" applyFill="1"/>
    <xf numFmtId="0" fontId="85" fillId="0" borderId="0" xfId="0" applyNumberFormat="1" applyFont="1" applyFill="1" applyAlignment="1">
      <alignment wrapText="1" readingOrder="1"/>
    </xf>
    <xf numFmtId="165" fontId="85" fillId="0" borderId="0" xfId="0" applyNumberFormat="1" applyFont="1" applyFill="1"/>
    <xf numFmtId="0" fontId="85" fillId="0" borderId="0" xfId="0" applyFont="1" applyFill="1" applyAlignment="1">
      <alignment wrapText="1" readingOrder="1"/>
    </xf>
    <xf numFmtId="0" fontId="85" fillId="0" borderId="0" xfId="0" applyNumberFormat="1" applyFont="1" applyFill="1" applyBorder="1"/>
    <xf numFmtId="0" fontId="85" fillId="0" borderId="24" xfId="0" applyNumberFormat="1" applyFont="1" applyFill="1" applyBorder="1"/>
    <xf numFmtId="1" fontId="85" fillId="0" borderId="25" xfId="0" applyNumberFormat="1" applyFont="1" applyFill="1" applyBorder="1"/>
    <xf numFmtId="0" fontId="89" fillId="0" borderId="0" xfId="0" applyFont="1"/>
    <xf numFmtId="0" fontId="92" fillId="0" borderId="0" xfId="0" applyFont="1"/>
    <xf numFmtId="1" fontId="93" fillId="0" borderId="0" xfId="0" applyNumberFormat="1" applyFont="1" applyFill="1"/>
    <xf numFmtId="0" fontId="93" fillId="0" borderId="0" xfId="0" applyFont="1" applyFill="1"/>
    <xf numFmtId="0" fontId="93" fillId="0" borderId="0" xfId="0" applyNumberFormat="1" applyFont="1" applyFill="1" applyAlignment="1">
      <alignment wrapText="1" readingOrder="1"/>
    </xf>
    <xf numFmtId="165" fontId="93" fillId="0" borderId="0" xfId="0" applyNumberFormat="1" applyFont="1" applyFill="1"/>
    <xf numFmtId="0" fontId="93" fillId="0" borderId="0" xfId="0" applyFont="1" applyFill="1" applyAlignment="1">
      <alignment wrapText="1" readingOrder="1"/>
    </xf>
    <xf numFmtId="0" fontId="93" fillId="0" borderId="0" xfId="0" applyNumberFormat="1" applyFont="1" applyFill="1" applyBorder="1"/>
    <xf numFmtId="1" fontId="93" fillId="0" borderId="0" xfId="0" applyNumberFormat="1" applyFont="1" applyFill="1" applyBorder="1"/>
    <xf numFmtId="49" fontId="91" fillId="0" borderId="0" xfId="21" applyNumberFormat="1" applyFont="1" applyFill="1" applyBorder="1" applyAlignment="1">
      <alignment horizontal="left" vertical="center" wrapText="1"/>
    </xf>
    <xf numFmtId="1" fontId="94" fillId="0" borderId="0" xfId="0" applyNumberFormat="1" applyFont="1" applyFill="1"/>
    <xf numFmtId="0" fontId="94" fillId="0" borderId="0" xfId="0" applyFont="1" applyFill="1"/>
    <xf numFmtId="0" fontId="94" fillId="0" borderId="0" xfId="0" applyNumberFormat="1" applyFont="1" applyFill="1" applyAlignment="1">
      <alignment wrapText="1" readingOrder="1"/>
    </xf>
    <xf numFmtId="165" fontId="94" fillId="0" borderId="0" xfId="0" applyNumberFormat="1" applyFont="1" applyFill="1"/>
    <xf numFmtId="0" fontId="94" fillId="0" borderId="0" xfId="0" applyFont="1" applyFill="1" applyAlignment="1">
      <alignment wrapText="1" readingOrder="1"/>
    </xf>
    <xf numFmtId="0" fontId="94" fillId="0" borderId="0" xfId="0" applyNumberFormat="1" applyFont="1" applyFill="1" applyBorder="1"/>
    <xf numFmtId="1" fontId="94" fillId="0" borderId="0" xfId="0" applyNumberFormat="1" applyFont="1" applyFill="1" applyBorder="1"/>
    <xf numFmtId="0" fontId="89" fillId="31" borderId="26" xfId="0" applyFont="1" applyFill="1" applyBorder="1"/>
    <xf numFmtId="0" fontId="17" fillId="0" borderId="0" xfId="19" applyFont="1" applyAlignment="1">
      <alignment horizontal="left" vertical="center"/>
    </xf>
    <xf numFmtId="0" fontId="30" fillId="0" borderId="0" xfId="22" applyFont="1" applyAlignment="1">
      <alignment horizontal="left" vertical="center"/>
    </xf>
    <xf numFmtId="0" fontId="17" fillId="0" borderId="0" xfId="19" applyAlignment="1">
      <alignment horizontal="left" vertical="center"/>
    </xf>
    <xf numFmtId="0" fontId="53" fillId="24" borderId="66" xfId="23" applyFont="1" applyBorder="1" applyAlignment="1">
      <alignment horizontal="center" vertical="center" wrapText="1"/>
    </xf>
    <xf numFmtId="0" fontId="54" fillId="25" borderId="66" xfId="24" applyFont="1" applyBorder="1" applyAlignment="1">
      <alignment horizontal="center" vertical="center" wrapText="1"/>
    </xf>
    <xf numFmtId="0" fontId="55" fillId="26" borderId="66" xfId="22" applyFont="1" applyFill="1" applyBorder="1" applyAlignment="1">
      <alignment horizontal="center" vertical="center"/>
    </xf>
    <xf numFmtId="0" fontId="51" fillId="24" borderId="66" xfId="23" applyBorder="1" applyAlignment="1">
      <alignment horizontal="left" vertical="center"/>
    </xf>
    <xf numFmtId="0" fontId="52" fillId="25" borderId="66" xfId="24" applyBorder="1" applyAlignment="1">
      <alignment horizontal="left" vertical="center"/>
    </xf>
    <xf numFmtId="0" fontId="30" fillId="43" borderId="66" xfId="22" applyFont="1" applyFill="1" applyBorder="1" applyAlignment="1">
      <alignment horizontal="left" vertical="center"/>
    </xf>
    <xf numFmtId="0" fontId="31" fillId="18" borderId="66" xfId="19" applyFont="1" applyFill="1" applyBorder="1" applyAlignment="1">
      <alignment horizontal="left" vertical="center" wrapText="1" readingOrder="1"/>
    </xf>
    <xf numFmtId="0" fontId="59" fillId="5" borderId="66" xfId="23" applyFont="1" applyFill="1" applyBorder="1" applyAlignment="1">
      <alignment horizontal="left" vertical="center"/>
    </xf>
    <xf numFmtId="0" fontId="59" fillId="5" borderId="66" xfId="24" applyFont="1" applyFill="1" applyBorder="1" applyAlignment="1">
      <alignment horizontal="left" vertical="center"/>
    </xf>
    <xf numFmtId="0" fontId="56" fillId="26" borderId="66" xfId="22" applyFont="1" applyFill="1" applyBorder="1" applyAlignment="1">
      <alignment horizontal="left" vertical="center" wrapText="1"/>
    </xf>
    <xf numFmtId="1" fontId="31" fillId="18" borderId="66" xfId="19" applyNumberFormat="1" applyFont="1" applyFill="1" applyBorder="1" applyAlignment="1">
      <alignment horizontal="left" vertical="center" wrapText="1" readingOrder="1"/>
    </xf>
    <xf numFmtId="0" fontId="51" fillId="24" borderId="69" xfId="23" applyBorder="1" applyAlignment="1">
      <alignment horizontal="left" vertical="center"/>
    </xf>
    <xf numFmtId="0" fontId="52" fillId="25" borderId="69" xfId="24" applyBorder="1" applyAlignment="1">
      <alignment horizontal="left" vertical="center"/>
    </xf>
    <xf numFmtId="9" fontId="31" fillId="18" borderId="66" xfId="19" applyNumberFormat="1" applyFont="1" applyFill="1" applyBorder="1" applyAlignment="1">
      <alignment horizontal="left" vertical="center" wrapText="1" readingOrder="1"/>
    </xf>
    <xf numFmtId="9" fontId="31" fillId="18" borderId="66" xfId="20" applyNumberFormat="1" applyFont="1" applyFill="1" applyBorder="1" applyAlignment="1">
      <alignment horizontal="left" vertical="center" wrapText="1" readingOrder="1"/>
    </xf>
    <xf numFmtId="0" fontId="61" fillId="8" borderId="66" xfId="23" applyFont="1" applyFill="1" applyBorder="1" applyAlignment="1">
      <alignment horizontal="left" vertical="center"/>
    </xf>
    <xf numFmtId="0" fontId="61" fillId="8" borderId="66" xfId="24" applyFont="1" applyFill="1" applyBorder="1" applyAlignment="1">
      <alignment horizontal="left" vertical="center"/>
    </xf>
    <xf numFmtId="0" fontId="57" fillId="26" borderId="66" xfId="22" applyFont="1" applyFill="1" applyBorder="1" applyAlignment="1">
      <alignment horizontal="left" vertical="center" wrapText="1"/>
    </xf>
    <xf numFmtId="1" fontId="31" fillId="7" borderId="66" xfId="19" applyNumberFormat="1" applyFont="1" applyFill="1" applyBorder="1" applyAlignment="1">
      <alignment horizontal="left" vertical="center" wrapText="1" readingOrder="1"/>
    </xf>
    <xf numFmtId="0" fontId="62" fillId="36" borderId="66" xfId="23" applyFont="1" applyFill="1" applyBorder="1" applyAlignment="1">
      <alignment horizontal="left" vertical="center"/>
    </xf>
    <xf numFmtId="0" fontId="62" fillId="36" borderId="66" xfId="24" applyFont="1" applyFill="1" applyBorder="1" applyAlignment="1">
      <alignment horizontal="left" vertical="center"/>
    </xf>
    <xf numFmtId="0" fontId="58" fillId="26" borderId="66" xfId="22" applyFont="1" applyFill="1" applyBorder="1" applyAlignment="1">
      <alignment horizontal="left" vertical="center" wrapText="1"/>
    </xf>
    <xf numFmtId="0" fontId="82" fillId="36" borderId="66" xfId="23" applyFont="1" applyFill="1" applyBorder="1" applyAlignment="1">
      <alignment horizontal="left" vertical="center" wrapText="1"/>
    </xf>
    <xf numFmtId="0" fontId="30" fillId="43" borderId="69" xfId="22" applyFont="1" applyFill="1" applyBorder="1" applyAlignment="1">
      <alignment horizontal="left" vertical="center"/>
    </xf>
    <xf numFmtId="0" fontId="19" fillId="0" borderId="0" xfId="22" applyAlignment="1">
      <alignment vertical="top" wrapText="1"/>
    </xf>
    <xf numFmtId="0" fontId="44" fillId="0" borderId="0" xfId="22" applyFont="1" applyAlignment="1">
      <alignment vertical="top" wrapText="1"/>
    </xf>
    <xf numFmtId="0" fontId="19" fillId="0" borderId="0" xfId="22" applyAlignment="1">
      <alignment wrapText="1"/>
    </xf>
    <xf numFmtId="0" fontId="25" fillId="12" borderId="4" xfId="22" applyFont="1" applyFill="1" applyBorder="1" applyAlignment="1">
      <alignment vertical="top" wrapText="1"/>
    </xf>
    <xf numFmtId="0" fontId="28" fillId="10" borderId="4" xfId="22" applyFont="1" applyFill="1" applyBorder="1" applyAlignment="1">
      <alignment horizontal="left" vertical="top" wrapText="1"/>
    </xf>
    <xf numFmtId="0" fontId="28" fillId="10" borderId="4" xfId="22" applyFont="1" applyFill="1" applyBorder="1" applyAlignment="1">
      <alignment horizontal="left" vertical="center" wrapText="1"/>
    </xf>
    <xf numFmtId="0" fontId="26" fillId="7" borderId="4" xfId="22" applyFont="1" applyFill="1" applyBorder="1" applyAlignment="1">
      <alignment vertical="top" wrapText="1"/>
    </xf>
    <xf numFmtId="0" fontId="26" fillId="11" borderId="4" xfId="22" applyFont="1" applyFill="1" applyBorder="1" applyAlignment="1">
      <alignment vertical="top" wrapText="1"/>
    </xf>
    <xf numFmtId="9" fontId="19" fillId="0" borderId="0" xfId="22" applyNumberFormat="1" applyAlignment="1">
      <alignment vertical="top" wrapText="1"/>
    </xf>
    <xf numFmtId="0" fontId="23" fillId="44" borderId="66" xfId="22" applyNumberFormat="1" applyFont="1" applyFill="1" applyBorder="1" applyAlignment="1">
      <alignment horizontal="center" vertical="center"/>
    </xf>
    <xf numFmtId="0" fontId="23" fillId="2" borderId="66" xfId="22" applyNumberFormat="1" applyFont="1" applyFill="1" applyBorder="1" applyAlignment="1">
      <alignment horizontal="center" vertical="center"/>
    </xf>
    <xf numFmtId="0" fontId="23" fillId="37" borderId="66" xfId="22" applyNumberFormat="1" applyFont="1" applyFill="1" applyBorder="1" applyAlignment="1">
      <alignment horizontal="center" vertical="center"/>
    </xf>
    <xf numFmtId="1" fontId="65" fillId="18" borderId="14" xfId="0" applyNumberFormat="1" applyFont="1" applyFill="1" applyBorder="1" applyAlignment="1">
      <alignment horizontal="left" vertical="top" wrapText="1" readingOrder="1"/>
    </xf>
    <xf numFmtId="0" fontId="65" fillId="27" borderId="66" xfId="22" applyNumberFormat="1" applyFont="1" applyFill="1" applyBorder="1" applyAlignment="1">
      <alignment horizontal="center" vertical="center" wrapText="1"/>
    </xf>
    <xf numFmtId="14" fontId="64" fillId="12" borderId="66" xfId="19" applyNumberFormat="1" applyFont="1" applyFill="1" applyBorder="1" applyAlignment="1">
      <alignment horizontal="center" vertical="center" wrapText="1"/>
    </xf>
    <xf numFmtId="14" fontId="64" fillId="22" borderId="66" xfId="19" applyNumberFormat="1" applyFont="1" applyFill="1" applyBorder="1" applyAlignment="1">
      <alignment horizontal="center" vertical="center" wrapText="1"/>
    </xf>
    <xf numFmtId="14" fontId="24" fillId="17" borderId="66" xfId="19" applyNumberFormat="1" applyFont="1" applyFill="1" applyBorder="1" applyAlignment="1">
      <alignment horizontal="center" vertical="center" wrapText="1" readingOrder="1"/>
    </xf>
    <xf numFmtId="0" fontId="39" fillId="14" borderId="0" xfId="0" applyFont="1" applyFill="1" applyBorder="1" applyAlignment="1"/>
    <xf numFmtId="1" fontId="39" fillId="8" borderId="0" xfId="0" applyNumberFormat="1" applyFont="1" applyFill="1" applyBorder="1" applyAlignment="1"/>
    <xf numFmtId="0" fontId="23" fillId="9" borderId="70" xfId="22" applyNumberFormat="1" applyFont="1" applyFill="1" applyBorder="1" applyAlignment="1">
      <alignment horizontal="center" vertical="center"/>
    </xf>
    <xf numFmtId="0" fontId="99" fillId="37" borderId="66" xfId="22" applyNumberFormat="1" applyFont="1" applyFill="1" applyBorder="1" applyAlignment="1">
      <alignment horizontal="left" vertical="center"/>
    </xf>
    <xf numFmtId="0" fontId="23" fillId="6" borderId="66" xfId="22" applyNumberFormat="1" applyFont="1" applyFill="1" applyBorder="1" applyAlignment="1">
      <alignment horizontal="center" vertical="center"/>
    </xf>
    <xf numFmtId="0" fontId="99" fillId="6" borderId="66" xfId="22" applyNumberFormat="1" applyFont="1" applyFill="1" applyBorder="1" applyAlignment="1">
      <alignment horizontal="left" vertical="center"/>
    </xf>
    <xf numFmtId="14" fontId="64" fillId="17" borderId="14" xfId="0" applyNumberFormat="1" applyFont="1" applyFill="1" applyBorder="1" applyAlignment="1">
      <alignment horizontal="left" vertical="top" wrapText="1" readingOrder="1"/>
    </xf>
    <xf numFmtId="0" fontId="65" fillId="18" borderId="14" xfId="0" applyFont="1" applyFill="1" applyBorder="1" applyAlignment="1">
      <alignment horizontal="left" vertical="top" wrapText="1" readingOrder="1"/>
    </xf>
    <xf numFmtId="0" fontId="65" fillId="22" borderId="19" xfId="0" applyNumberFormat="1" applyFont="1" applyFill="1" applyBorder="1" applyAlignment="1">
      <alignment horizontal="left" vertical="top" wrapText="1" readingOrder="1"/>
    </xf>
    <xf numFmtId="0" fontId="65" fillId="22" borderId="20" xfId="0" applyNumberFormat="1" applyFont="1" applyFill="1" applyBorder="1" applyAlignment="1">
      <alignment horizontal="left" vertical="top" wrapText="1" readingOrder="1"/>
    </xf>
    <xf numFmtId="0" fontId="65" fillId="22" borderId="2" xfId="0" applyNumberFormat="1" applyFont="1" applyFill="1" applyBorder="1" applyAlignment="1">
      <alignment horizontal="left" vertical="center" wrapText="1" readingOrder="1"/>
    </xf>
    <xf numFmtId="0" fontId="63" fillId="0" borderId="0" xfId="0" applyFont="1" applyAlignment="1">
      <alignment vertical="top" wrapText="1"/>
    </xf>
    <xf numFmtId="0" fontId="100" fillId="18" borderId="66" xfId="19" applyFont="1" applyFill="1" applyBorder="1" applyAlignment="1">
      <alignment horizontal="left" vertical="center" wrapText="1" readingOrder="1"/>
    </xf>
    <xf numFmtId="1" fontId="100" fillId="18" borderId="66" xfId="19" applyNumberFormat="1" applyFont="1" applyFill="1" applyBorder="1" applyAlignment="1">
      <alignment horizontal="left" vertical="center" wrapText="1" readingOrder="1"/>
    </xf>
    <xf numFmtId="0" fontId="101" fillId="18" borderId="66" xfId="19" applyFont="1" applyFill="1" applyBorder="1" applyAlignment="1">
      <alignment horizontal="left" vertical="center" wrapText="1" readingOrder="1"/>
    </xf>
    <xf numFmtId="0" fontId="100" fillId="18" borderId="66" xfId="19" applyFont="1" applyFill="1" applyBorder="1" applyAlignment="1">
      <alignment horizontal="left" vertical="center" wrapText="1"/>
    </xf>
    <xf numFmtId="1" fontId="101" fillId="18" borderId="66" xfId="19" applyNumberFormat="1" applyFont="1" applyFill="1" applyBorder="1" applyAlignment="1">
      <alignment horizontal="left" vertical="center" wrapText="1" readingOrder="1"/>
    </xf>
    <xf numFmtId="1" fontId="101" fillId="7" borderId="66" xfId="19" applyNumberFormat="1" applyFont="1" applyFill="1" applyBorder="1" applyAlignment="1">
      <alignment horizontal="left" vertical="center" wrapText="1" readingOrder="1"/>
    </xf>
    <xf numFmtId="0" fontId="100" fillId="28" borderId="66" xfId="19" applyFont="1" applyFill="1" applyBorder="1" applyAlignment="1">
      <alignment horizontal="left" vertical="center" wrapText="1"/>
    </xf>
    <xf numFmtId="14" fontId="101" fillId="7" borderId="66" xfId="19" applyNumberFormat="1" applyFont="1" applyFill="1" applyBorder="1" applyAlignment="1">
      <alignment horizontal="left" vertical="center" wrapText="1" readingOrder="1"/>
    </xf>
    <xf numFmtId="0" fontId="101" fillId="11" borderId="66" xfId="20" applyNumberFormat="1" applyFont="1" applyFill="1" applyBorder="1" applyAlignment="1">
      <alignment horizontal="left" vertical="center" wrapText="1" readingOrder="1"/>
    </xf>
    <xf numFmtId="1" fontId="101" fillId="11" borderId="66" xfId="19" applyNumberFormat="1" applyFont="1" applyFill="1" applyBorder="1" applyAlignment="1">
      <alignment horizontal="left" vertical="center" wrapText="1" readingOrder="1"/>
    </xf>
    <xf numFmtId="0" fontId="100" fillId="0" borderId="66" xfId="19" applyFont="1" applyFill="1" applyBorder="1" applyAlignment="1">
      <alignment horizontal="left" vertical="center" wrapText="1"/>
    </xf>
    <xf numFmtId="0" fontId="100" fillId="30" borderId="66" xfId="20" applyNumberFormat="1" applyFont="1" applyFill="1" applyBorder="1" applyAlignment="1">
      <alignment horizontal="left" vertical="center" wrapText="1" readingOrder="1"/>
    </xf>
    <xf numFmtId="14" fontId="101" fillId="17" borderId="66" xfId="19" applyNumberFormat="1" applyFont="1" applyFill="1" applyBorder="1" applyAlignment="1">
      <alignment horizontal="left" vertical="center" wrapText="1" readingOrder="1"/>
    </xf>
    <xf numFmtId="0" fontId="103" fillId="16" borderId="66" xfId="19" applyFont="1" applyFill="1" applyBorder="1" applyAlignment="1">
      <alignment horizontal="center" vertical="center" wrapText="1"/>
    </xf>
    <xf numFmtId="0" fontId="106" fillId="22" borderId="13" xfId="0" applyNumberFormat="1" applyFont="1" applyFill="1" applyBorder="1" applyAlignment="1">
      <alignment horizontal="left" vertical="center" wrapText="1" readingOrder="1"/>
    </xf>
    <xf numFmtId="0" fontId="106" fillId="22" borderId="2" xfId="0" applyNumberFormat="1" applyFont="1" applyFill="1" applyBorder="1" applyAlignment="1">
      <alignment horizontal="left" vertical="center" wrapText="1" readingOrder="1"/>
    </xf>
    <xf numFmtId="0" fontId="104" fillId="0" borderId="0" xfId="0" applyFont="1" applyAlignment="1"/>
    <xf numFmtId="0" fontId="52" fillId="25" borderId="67" xfId="24" applyBorder="1" applyAlignment="1">
      <alignment horizontal="left" vertical="center"/>
    </xf>
    <xf numFmtId="0" fontId="30" fillId="43" borderId="67" xfId="22" applyFont="1" applyFill="1" applyBorder="1" applyAlignment="1">
      <alignment horizontal="left" vertical="center"/>
    </xf>
    <xf numFmtId="0" fontId="59" fillId="5" borderId="0" xfId="23" applyFont="1" applyFill="1" applyBorder="1" applyAlignment="1">
      <alignment horizontal="left" vertical="center"/>
    </xf>
    <xf numFmtId="0" fontId="59" fillId="5" borderId="0" xfId="24" applyFont="1" applyFill="1" applyBorder="1" applyAlignment="1">
      <alignment horizontal="left" vertical="center"/>
    </xf>
    <xf numFmtId="0" fontId="56" fillId="26" borderId="0" xfId="22" applyFont="1" applyFill="1" applyBorder="1" applyAlignment="1">
      <alignment horizontal="left" vertical="center" wrapText="1"/>
    </xf>
    <xf numFmtId="14" fontId="31" fillId="18" borderId="66" xfId="19" applyNumberFormat="1" applyFont="1" applyFill="1" applyBorder="1" applyAlignment="1">
      <alignment horizontal="left" vertical="center" wrapText="1" readingOrder="1"/>
    </xf>
    <xf numFmtId="0" fontId="31" fillId="10" borderId="66" xfId="19" applyFont="1" applyFill="1" applyBorder="1" applyAlignment="1">
      <alignment horizontal="left" vertical="center" wrapText="1"/>
    </xf>
    <xf numFmtId="14" fontId="100" fillId="18" borderId="66" xfId="19" applyNumberFormat="1" applyFont="1" applyFill="1" applyBorder="1" applyAlignment="1">
      <alignment horizontal="left" vertical="center" wrapText="1" readingOrder="1"/>
    </xf>
    <xf numFmtId="9" fontId="31" fillId="11" borderId="66" xfId="19" applyNumberFormat="1" applyFont="1" applyFill="1" applyBorder="1" applyAlignment="1">
      <alignment horizontal="left" vertical="center" wrapText="1" readingOrder="1"/>
    </xf>
    <xf numFmtId="0" fontId="51" fillId="24" borderId="68" xfId="23" applyBorder="1" applyAlignment="1">
      <alignment horizontal="left" vertical="center"/>
    </xf>
    <xf numFmtId="0" fontId="51" fillId="24" borderId="72" xfId="23" applyBorder="1" applyAlignment="1">
      <alignment horizontal="left" vertical="center"/>
    </xf>
    <xf numFmtId="1" fontId="31" fillId="18" borderId="66" xfId="20" applyNumberFormat="1" applyFont="1" applyFill="1" applyBorder="1" applyAlignment="1">
      <alignment horizontal="left" vertical="center" wrapText="1" readingOrder="1"/>
    </xf>
    <xf numFmtId="0" fontId="23" fillId="2" borderId="66" xfId="22" applyNumberFormat="1" applyFont="1" applyFill="1" applyBorder="1" applyAlignment="1">
      <alignment horizontal="center" vertical="center" wrapText="1"/>
    </xf>
    <xf numFmtId="0" fontId="23" fillId="6" borderId="66" xfId="22" applyNumberFormat="1" applyFont="1" applyFill="1" applyBorder="1" applyAlignment="1">
      <alignment horizontal="center" vertical="center" wrapText="1"/>
    </xf>
    <xf numFmtId="0" fontId="23" fillId="37" borderId="66" xfId="22" applyNumberFormat="1" applyFont="1" applyFill="1" applyBorder="1" applyAlignment="1">
      <alignment horizontal="center" vertical="center" wrapText="1"/>
    </xf>
    <xf numFmtId="0" fontId="23" fillId="44" borderId="66" xfId="22" applyNumberFormat="1" applyFont="1" applyFill="1" applyBorder="1" applyAlignment="1">
      <alignment horizontal="center" vertical="center" wrapText="1"/>
    </xf>
    <xf numFmtId="0" fontId="33" fillId="22" borderId="13" xfId="0" applyNumberFormat="1" applyFont="1" applyFill="1" applyBorder="1" applyAlignment="1">
      <alignment horizontal="left" vertical="center" wrapText="1" readingOrder="1"/>
    </xf>
    <xf numFmtId="0" fontId="33" fillId="22" borderId="2" xfId="0" applyNumberFormat="1" applyFont="1" applyFill="1" applyBorder="1" applyAlignment="1">
      <alignment horizontal="left" vertical="center" wrapText="1" readingOrder="1"/>
    </xf>
    <xf numFmtId="0" fontId="35" fillId="0" borderId="0" xfId="0" applyFont="1" applyAlignment="1">
      <alignment wrapText="1"/>
    </xf>
    <xf numFmtId="0" fontId="108" fillId="0" borderId="0" xfId="19" applyFont="1" applyAlignment="1">
      <alignment horizontal="left" vertical="center"/>
    </xf>
    <xf numFmtId="0" fontId="31" fillId="0" borderId="0" xfId="22" applyFont="1" applyAlignment="1">
      <alignment horizontal="left" vertical="center"/>
    </xf>
    <xf numFmtId="0" fontId="33" fillId="16" borderId="66" xfId="22" applyFont="1" applyFill="1" applyBorder="1" applyAlignment="1">
      <alignment horizontal="center" vertical="center" wrapText="1"/>
    </xf>
    <xf numFmtId="0" fontId="33" fillId="16" borderId="66" xfId="19" applyFont="1" applyFill="1" applyBorder="1" applyAlignment="1">
      <alignment horizontal="center" vertical="center" wrapText="1"/>
    </xf>
    <xf numFmtId="0" fontId="108" fillId="0" borderId="0" xfId="19" applyFont="1" applyAlignment="1">
      <alignment horizontal="center" vertical="center"/>
    </xf>
    <xf numFmtId="0" fontId="33" fillId="2" borderId="66" xfId="22" applyNumberFormat="1" applyFont="1" applyFill="1" applyBorder="1" applyAlignment="1">
      <alignment horizontal="left" vertical="center" indent="1" readingOrder="1"/>
    </xf>
    <xf numFmtId="14" fontId="31" fillId="17" borderId="66" xfId="19" applyNumberFormat="1" applyFont="1" applyFill="1" applyBorder="1" applyAlignment="1">
      <alignment horizontal="left" vertical="center" wrapText="1" readingOrder="1"/>
    </xf>
    <xf numFmtId="0" fontId="33" fillId="14" borderId="66" xfId="22" applyNumberFormat="1" applyFont="1" applyFill="1" applyBorder="1" applyAlignment="1">
      <alignment horizontal="left" vertical="center" indent="1" readingOrder="1"/>
    </xf>
    <xf numFmtId="1" fontId="31" fillId="18" borderId="69" xfId="20" applyNumberFormat="1" applyFont="1" applyFill="1" applyBorder="1" applyAlignment="1">
      <alignment horizontal="left" vertical="center" wrapText="1" readingOrder="1"/>
    </xf>
    <xf numFmtId="0" fontId="31" fillId="18" borderId="69" xfId="19" applyFont="1" applyFill="1" applyBorder="1" applyAlignment="1">
      <alignment horizontal="left" vertical="center" wrapText="1" readingOrder="1"/>
    </xf>
    <xf numFmtId="1" fontId="31" fillId="18" borderId="69" xfId="19" applyNumberFormat="1" applyFont="1" applyFill="1" applyBorder="1" applyAlignment="1">
      <alignment horizontal="left" vertical="center" wrapText="1" readingOrder="1"/>
    </xf>
    <xf numFmtId="0" fontId="33" fillId="38" borderId="66" xfId="22" applyNumberFormat="1" applyFont="1" applyFill="1" applyBorder="1" applyAlignment="1">
      <alignment horizontal="left" vertical="center" indent="1" readingOrder="1"/>
    </xf>
    <xf numFmtId="0" fontId="31" fillId="28" borderId="66" xfId="19" applyFont="1" applyFill="1" applyBorder="1" applyAlignment="1">
      <alignment horizontal="left" vertical="center" wrapText="1"/>
    </xf>
    <xf numFmtId="1" fontId="31" fillId="7" borderId="66" xfId="20" applyNumberFormat="1" applyFont="1" applyFill="1" applyBorder="1" applyAlignment="1">
      <alignment horizontal="left" vertical="center" wrapText="1" readingOrder="1"/>
    </xf>
    <xf numFmtId="14" fontId="31" fillId="7" borderId="66" xfId="19" applyNumberFormat="1" applyFont="1" applyFill="1" applyBorder="1" applyAlignment="1">
      <alignment horizontal="left" vertical="center" wrapText="1" readingOrder="1"/>
    </xf>
    <xf numFmtId="0" fontId="31" fillId="7" borderId="66" xfId="19" applyFont="1" applyFill="1" applyBorder="1" applyAlignment="1">
      <alignment horizontal="left" vertical="center" wrapText="1" readingOrder="1"/>
    </xf>
    <xf numFmtId="0" fontId="33" fillId="9" borderId="66" xfId="22" applyNumberFormat="1" applyFont="1" applyFill="1" applyBorder="1" applyAlignment="1">
      <alignment horizontal="left" vertical="center" indent="1" readingOrder="1"/>
    </xf>
    <xf numFmtId="0" fontId="31" fillId="11" borderId="66" xfId="20" applyNumberFormat="1" applyFont="1" applyFill="1" applyBorder="1" applyAlignment="1">
      <alignment horizontal="left" vertical="center" wrapText="1" readingOrder="1"/>
    </xf>
    <xf numFmtId="1" fontId="31" fillId="11" borderId="66" xfId="19" applyNumberFormat="1" applyFont="1" applyFill="1" applyBorder="1" applyAlignment="1">
      <alignment horizontal="left" vertical="center" wrapText="1" readingOrder="1"/>
    </xf>
    <xf numFmtId="0" fontId="31" fillId="30" borderId="66" xfId="19" applyFont="1" applyFill="1" applyBorder="1" applyAlignment="1">
      <alignment horizontal="left" vertical="center" wrapText="1"/>
    </xf>
    <xf numFmtId="9" fontId="31" fillId="11" borderId="69" xfId="19" applyNumberFormat="1" applyFont="1" applyFill="1" applyBorder="1" applyAlignment="1">
      <alignment horizontal="left" vertical="center" wrapText="1" readingOrder="1"/>
    </xf>
    <xf numFmtId="0" fontId="31" fillId="30" borderId="69" xfId="19" applyFont="1" applyFill="1" applyBorder="1" applyAlignment="1">
      <alignment horizontal="left" vertical="center" wrapText="1"/>
    </xf>
    <xf numFmtId="0" fontId="31" fillId="0" borderId="0" xfId="19" applyFont="1" applyAlignment="1">
      <alignment horizontal="left" vertical="center"/>
    </xf>
    <xf numFmtId="0" fontId="110" fillId="0" borderId="0" xfId="19" applyFont="1" applyAlignment="1">
      <alignment horizontal="left" vertical="center"/>
    </xf>
    <xf numFmtId="0" fontId="110" fillId="0" borderId="0" xfId="19" applyFont="1" applyAlignment="1">
      <alignment horizontal="center" vertical="center"/>
    </xf>
    <xf numFmtId="0" fontId="33" fillId="14" borderId="68" xfId="22" applyNumberFormat="1" applyFont="1" applyFill="1" applyBorder="1" applyAlignment="1">
      <alignment horizontal="left" vertical="center" indent="1" readingOrder="1"/>
    </xf>
    <xf numFmtId="0" fontId="110" fillId="0" borderId="0" xfId="19" applyFont="1" applyBorder="1" applyAlignment="1">
      <alignment horizontal="left" vertical="center"/>
    </xf>
    <xf numFmtId="0" fontId="102" fillId="0" borderId="0" xfId="19" applyFont="1" applyAlignment="1">
      <alignment horizontal="left" vertical="center"/>
    </xf>
    <xf numFmtId="0" fontId="100" fillId="0" borderId="0" xfId="19" applyFont="1" applyAlignment="1">
      <alignment horizontal="left" vertical="center"/>
    </xf>
    <xf numFmtId="0" fontId="101" fillId="0" borderId="0" xfId="19" applyFont="1" applyAlignment="1">
      <alignment horizontal="left" vertical="center"/>
    </xf>
    <xf numFmtId="14" fontId="24" fillId="17" borderId="66" xfId="19" applyNumberFormat="1" applyFont="1" applyFill="1" applyBorder="1" applyAlignment="1">
      <alignment horizontal="center" vertical="center" wrapText="1"/>
    </xf>
    <xf numFmtId="14" fontId="24" fillId="7" borderId="66" xfId="19" applyNumberFormat="1" applyFont="1" applyFill="1" applyBorder="1" applyAlignment="1">
      <alignment horizontal="center" vertical="center" wrapText="1"/>
    </xf>
    <xf numFmtId="14" fontId="24" fillId="27" borderId="66" xfId="19" applyNumberFormat="1" applyFont="1" applyFill="1" applyBorder="1" applyAlignment="1">
      <alignment horizontal="center" vertical="center" wrapText="1"/>
    </xf>
    <xf numFmtId="14" fontId="24" fillId="22" borderId="66" xfId="19" applyNumberFormat="1" applyFont="1" applyFill="1" applyBorder="1" applyAlignment="1">
      <alignment horizontal="center" vertical="center" wrapText="1"/>
    </xf>
    <xf numFmtId="14" fontId="111" fillId="17" borderId="66" xfId="19" applyNumberFormat="1" applyFont="1" applyFill="1" applyBorder="1" applyAlignment="1">
      <alignment horizontal="center" vertical="center" wrapText="1"/>
    </xf>
    <xf numFmtId="14" fontId="111" fillId="7" borderId="66" xfId="19" applyNumberFormat="1" applyFont="1" applyFill="1" applyBorder="1" applyAlignment="1">
      <alignment horizontal="center" vertical="center" wrapText="1"/>
    </xf>
    <xf numFmtId="14" fontId="111" fillId="27" borderId="66" xfId="19" applyNumberFormat="1" applyFont="1" applyFill="1" applyBorder="1" applyAlignment="1">
      <alignment horizontal="center" vertical="center" wrapText="1"/>
    </xf>
    <xf numFmtId="14" fontId="111" fillId="22" borderId="66" xfId="19" applyNumberFormat="1" applyFont="1" applyFill="1" applyBorder="1" applyAlignment="1">
      <alignment horizontal="center" vertical="center" wrapText="1"/>
    </xf>
    <xf numFmtId="0" fontId="112" fillId="5" borderId="73" xfId="0" applyFont="1" applyFill="1" applyBorder="1" applyAlignment="1">
      <alignment horizontal="center" vertical="center" wrapText="1"/>
    </xf>
    <xf numFmtId="0" fontId="98" fillId="18" borderId="77" xfId="0" applyFont="1" applyFill="1" applyBorder="1" applyAlignment="1">
      <alignment vertical="top" wrapText="1"/>
    </xf>
    <xf numFmtId="0" fontId="98" fillId="18" borderId="78" xfId="0" applyFont="1" applyFill="1" applyBorder="1" applyAlignment="1">
      <alignment vertical="top" wrapText="1"/>
    </xf>
    <xf numFmtId="1" fontId="98" fillId="18" borderId="79" xfId="0" applyNumberFormat="1" applyFont="1" applyFill="1" applyBorder="1" applyAlignment="1">
      <alignment vertical="top" wrapText="1"/>
    </xf>
    <xf numFmtId="0" fontId="112" fillId="5" borderId="80" xfId="0" applyFont="1" applyFill="1" applyBorder="1" applyAlignment="1">
      <alignment horizontal="center" vertical="center" wrapText="1"/>
    </xf>
    <xf numFmtId="9" fontId="98" fillId="18" borderId="73" xfId="0" applyNumberFormat="1" applyFont="1" applyFill="1" applyBorder="1" applyAlignment="1">
      <alignment vertical="top" wrapText="1"/>
    </xf>
    <xf numFmtId="0" fontId="34" fillId="5" borderId="80" xfId="0" applyFont="1" applyFill="1" applyBorder="1" applyAlignment="1">
      <alignment vertical="center" wrapText="1"/>
    </xf>
    <xf numFmtId="1" fontId="98" fillId="18" borderId="80" xfId="0" applyNumberFormat="1" applyFont="1" applyFill="1" applyBorder="1" applyAlignment="1">
      <alignment vertical="top" wrapText="1"/>
    </xf>
    <xf numFmtId="1" fontId="98" fillId="6" borderId="80" xfId="0" applyNumberFormat="1" applyFont="1" applyFill="1" applyBorder="1" applyAlignment="1">
      <alignment vertical="top" wrapText="1"/>
    </xf>
    <xf numFmtId="0" fontId="34" fillId="8" borderId="74" xfId="0" applyFont="1" applyFill="1" applyBorder="1" applyAlignment="1">
      <alignment vertical="center" wrapText="1"/>
    </xf>
    <xf numFmtId="0" fontId="98" fillId="6" borderId="74" xfId="0" applyFont="1" applyFill="1" applyBorder="1" applyAlignment="1">
      <alignment vertical="top" wrapText="1"/>
    </xf>
    <xf numFmtId="1" fontId="98" fillId="6" borderId="77" xfId="0" applyNumberFormat="1" applyFont="1" applyFill="1" applyBorder="1" applyAlignment="1">
      <alignment vertical="top" wrapText="1"/>
    </xf>
    <xf numFmtId="0" fontId="98" fillId="6" borderId="79" xfId="0" applyFont="1" applyFill="1" applyBorder="1" applyAlignment="1">
      <alignment vertical="top" wrapText="1"/>
    </xf>
    <xf numFmtId="1" fontId="105" fillId="9" borderId="73" xfId="0" applyNumberFormat="1" applyFont="1" applyFill="1" applyBorder="1" applyAlignment="1">
      <alignment vertical="top" wrapText="1"/>
    </xf>
    <xf numFmtId="1" fontId="113" fillId="9" borderId="73" xfId="0" applyNumberFormat="1" applyFont="1" applyFill="1" applyBorder="1" applyAlignment="1">
      <alignment horizontal="center" vertical="center"/>
    </xf>
    <xf numFmtId="1" fontId="40" fillId="9" borderId="73" xfId="1" applyNumberFormat="1" applyFont="1" applyFill="1" applyBorder="1" applyAlignment="1">
      <alignment vertical="center" wrapText="1"/>
    </xf>
    <xf numFmtId="1" fontId="42" fillId="9" borderId="73" xfId="0" applyNumberFormat="1" applyFont="1" applyFill="1" applyBorder="1" applyAlignment="1">
      <alignment horizontal="center" vertical="center" wrapText="1"/>
    </xf>
    <xf numFmtId="1" fontId="98" fillId="9" borderId="73" xfId="0" applyNumberFormat="1" applyFont="1" applyFill="1" applyBorder="1" applyAlignment="1">
      <alignment vertical="top" wrapText="1"/>
    </xf>
    <xf numFmtId="1" fontId="98" fillId="19" borderId="73" xfId="0" applyNumberFormat="1" applyFont="1" applyFill="1" applyBorder="1" applyAlignment="1">
      <alignment vertical="top" wrapText="1"/>
    </xf>
    <xf numFmtId="1" fontId="114" fillId="9" borderId="73" xfId="0" applyNumberFormat="1" applyFont="1" applyFill="1" applyBorder="1" applyAlignment="1">
      <alignment horizontal="center" vertical="center"/>
    </xf>
    <xf numFmtId="9" fontId="105" fillId="9" borderId="80" xfId="1" applyNumberFormat="1" applyFont="1" applyFill="1" applyBorder="1" applyAlignment="1">
      <alignment vertical="top" wrapText="1"/>
    </xf>
    <xf numFmtId="1" fontId="42" fillId="9" borderId="80" xfId="0" applyNumberFormat="1" applyFont="1" applyFill="1" applyBorder="1" applyAlignment="1">
      <alignment horizontal="center" vertical="center" wrapText="1"/>
    </xf>
    <xf numFmtId="1" fontId="98" fillId="19" borderId="80" xfId="0" applyNumberFormat="1" applyFont="1" applyFill="1" applyBorder="1" applyAlignment="1">
      <alignment vertical="top" wrapText="1"/>
    </xf>
    <xf numFmtId="1" fontId="105" fillId="9" borderId="74" xfId="0" applyNumberFormat="1" applyFont="1" applyFill="1" applyBorder="1" applyAlignment="1">
      <alignment vertical="top" wrapText="1"/>
    </xf>
    <xf numFmtId="1" fontId="42" fillId="9" borderId="74" xfId="0" applyNumberFormat="1" applyFont="1" applyFill="1" applyBorder="1" applyAlignment="1">
      <alignment horizontal="center" vertical="center" wrapText="1"/>
    </xf>
    <xf numFmtId="1" fontId="98" fillId="19" borderId="74" xfId="0" applyNumberFormat="1" applyFont="1" applyFill="1" applyBorder="1" applyAlignment="1">
      <alignment vertical="top" wrapText="1"/>
    </xf>
    <xf numFmtId="9" fontId="105" fillId="9" borderId="89" xfId="1" applyNumberFormat="1" applyFont="1" applyFill="1" applyBorder="1" applyAlignment="1">
      <alignment vertical="top" wrapText="1"/>
    </xf>
    <xf numFmtId="1" fontId="42" fillId="9" borderId="89" xfId="0" applyNumberFormat="1" applyFont="1" applyFill="1" applyBorder="1" applyAlignment="1">
      <alignment horizontal="center" vertical="center" wrapText="1"/>
    </xf>
    <xf numFmtId="9" fontId="98" fillId="9" borderId="90" xfId="0" applyNumberFormat="1" applyFont="1" applyFill="1" applyBorder="1" applyAlignment="1">
      <alignment vertical="top" wrapText="1"/>
    </xf>
    <xf numFmtId="1" fontId="98" fillId="5" borderId="73" xfId="0" applyNumberFormat="1" applyFont="1" applyFill="1" applyBorder="1" applyAlignment="1">
      <alignment horizontal="center" vertical="center" wrapText="1"/>
    </xf>
    <xf numFmtId="0" fontId="98" fillId="8" borderId="73" xfId="0" applyFont="1" applyFill="1" applyBorder="1" applyAlignment="1">
      <alignment horizontal="center" vertical="center" wrapText="1"/>
    </xf>
    <xf numFmtId="1" fontId="98" fillId="9" borderId="73" xfId="0" applyNumberFormat="1" applyFont="1" applyFill="1" applyBorder="1" applyAlignment="1">
      <alignment horizontal="center" vertical="center" wrapText="1"/>
    </xf>
    <xf numFmtId="0" fontId="66" fillId="45" borderId="0" xfId="0" applyFont="1" applyFill="1"/>
    <xf numFmtId="0" fontId="0" fillId="45" borderId="0" xfId="0" applyFill="1"/>
    <xf numFmtId="0" fontId="36" fillId="45" borderId="0" xfId="0" applyFont="1" applyFill="1"/>
    <xf numFmtId="0" fontId="32" fillId="0" borderId="0" xfId="0" applyFont="1" applyFill="1"/>
    <xf numFmtId="1" fontId="32" fillId="0" borderId="0" xfId="0" applyNumberFormat="1" applyFont="1" applyFill="1"/>
    <xf numFmtId="0" fontId="32" fillId="0" borderId="0" xfId="0" applyFont="1" applyFill="1" applyAlignment="1">
      <alignment wrapText="1" readingOrder="1"/>
    </xf>
    <xf numFmtId="165" fontId="32" fillId="0" borderId="0" xfId="0" applyNumberFormat="1" applyFont="1" applyFill="1"/>
    <xf numFmtId="1" fontId="32" fillId="0" borderId="0" xfId="0" applyNumberFormat="1" applyFont="1" applyFill="1" applyBorder="1" applyAlignment="1">
      <alignment wrapText="1"/>
    </xf>
    <xf numFmtId="0" fontId="32" fillId="0" borderId="0" xfId="0" applyFont="1" applyFill="1" applyAlignment="1">
      <alignment wrapText="1"/>
    </xf>
    <xf numFmtId="0" fontId="32" fillId="0" borderId="0" xfId="0" applyNumberFormat="1" applyFont="1" applyFill="1" applyAlignment="1">
      <alignment wrapText="1"/>
    </xf>
    <xf numFmtId="0" fontId="0" fillId="0" borderId="0" xfId="0"/>
    <xf numFmtId="14" fontId="24" fillId="3" borderId="2" xfId="0" applyNumberFormat="1" applyFont="1" applyFill="1" applyBorder="1" applyAlignment="1">
      <alignment horizontal="left" vertical="center" readingOrder="1"/>
    </xf>
    <xf numFmtId="0" fontId="48" fillId="0" borderId="0" xfId="9" applyFont="1" applyFill="1" applyBorder="1" applyAlignment="1">
      <alignment horizontal="right"/>
    </xf>
    <xf numFmtId="0" fontId="32" fillId="0" borderId="0" xfId="0" applyFont="1" applyFill="1"/>
    <xf numFmtId="0" fontId="32" fillId="0" borderId="0" xfId="0" applyFont="1" applyFill="1" applyBorder="1"/>
    <xf numFmtId="0" fontId="71" fillId="0" borderId="0" xfId="0" applyNumberFormat="1" applyFont="1" applyFill="1"/>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32" fillId="0" borderId="17" xfId="0" applyFont="1" applyFill="1" applyBorder="1"/>
    <xf numFmtId="0" fontId="32" fillId="0" borderId="0" xfId="0" applyNumberFormat="1" applyFont="1" applyFill="1" applyBorder="1"/>
    <xf numFmtId="1" fontId="32" fillId="0" borderId="0" xfId="0" applyNumberFormat="1" applyFont="1" applyFill="1" applyBorder="1"/>
    <xf numFmtId="0" fontId="32" fillId="0" borderId="0" xfId="0" applyFont="1" applyFill="1" applyBorder="1" applyAlignment="1">
      <alignment wrapText="1" readingOrder="1"/>
    </xf>
    <xf numFmtId="0" fontId="0" fillId="0" borderId="0" xfId="0" applyFill="1"/>
    <xf numFmtId="0" fontId="32" fillId="0" borderId="0" xfId="0" applyNumberFormat="1" applyFont="1" applyFill="1" applyAlignment="1">
      <alignment wrapText="1" readingOrder="1"/>
    </xf>
    <xf numFmtId="0" fontId="32" fillId="0" borderId="0" xfId="0" applyNumberFormat="1" applyFont="1" applyFill="1" applyBorder="1" applyAlignment="1">
      <alignment wrapText="1" readingOrder="1"/>
    </xf>
    <xf numFmtId="0" fontId="47" fillId="0" borderId="0" xfId="0" applyFont="1" applyFill="1" applyBorder="1" applyAlignment="1">
      <alignment horizontal="left" vertical="center" readingOrder="1"/>
    </xf>
    <xf numFmtId="0" fontId="47" fillId="0" borderId="0" xfId="0" applyNumberFormat="1" applyFont="1" applyFill="1" applyBorder="1" applyAlignment="1">
      <alignment horizontal="left" vertical="center" readingOrder="1"/>
    </xf>
    <xf numFmtId="0" fontId="48" fillId="0" borderId="0" xfId="9" applyFont="1" applyFill="1" applyAlignment="1"/>
    <xf numFmtId="0" fontId="48" fillId="0" borderId="0" xfId="0" applyNumberFormat="1" applyFont="1" applyFill="1" applyBorder="1" applyAlignment="1"/>
    <xf numFmtId="0" fontId="32" fillId="0" borderId="22" xfId="0" applyFont="1" applyFill="1" applyBorder="1"/>
    <xf numFmtId="0" fontId="32" fillId="0" borderId="21" xfId="0" applyFont="1" applyFill="1" applyBorder="1"/>
    <xf numFmtId="0" fontId="32" fillId="0" borderId="21" xfId="0" applyNumberFormat="1" applyFont="1" applyFill="1" applyBorder="1"/>
    <xf numFmtId="1" fontId="32" fillId="0" borderId="21" xfId="0" applyNumberFormat="1" applyFont="1" applyFill="1" applyBorder="1"/>
    <xf numFmtId="0" fontId="32" fillId="0" borderId="25" xfId="0" applyFont="1" applyFill="1" applyBorder="1"/>
    <xf numFmtId="0" fontId="32" fillId="0" borderId="24" xfId="0" applyFont="1" applyFill="1" applyBorder="1"/>
    <xf numFmtId="165" fontId="32" fillId="0" borderId="0" xfId="0" applyNumberFormat="1" applyFont="1" applyFill="1"/>
    <xf numFmtId="165" fontId="32" fillId="0" borderId="0" xfId="0" applyNumberFormat="1" applyFont="1" applyFill="1" applyBorder="1"/>
    <xf numFmtId="0" fontId="32" fillId="0" borderId="49" xfId="0" applyFont="1" applyFill="1" applyBorder="1"/>
    <xf numFmtId="0" fontId="86" fillId="0" borderId="0" xfId="9" applyFont="1" applyFill="1" applyBorder="1" applyAlignment="1"/>
    <xf numFmtId="0" fontId="32" fillId="0" borderId="24" xfId="0" applyNumberFormat="1" applyFont="1" applyFill="1" applyBorder="1"/>
    <xf numFmtId="1" fontId="32" fillId="0" borderId="25" xfId="0" applyNumberFormat="1" applyFont="1" applyFill="1" applyBorder="1"/>
    <xf numFmtId="1" fontId="47" fillId="0" borderId="0" xfId="0" applyNumberFormat="1" applyFont="1" applyFill="1" applyBorder="1" applyAlignment="1">
      <alignment horizontal="left" vertical="center" readingOrder="1"/>
    </xf>
    <xf numFmtId="49" fontId="91" fillId="0" borderId="0" xfId="0" applyNumberFormat="1" applyFont="1" applyFill="1" applyBorder="1" applyAlignment="1">
      <alignment horizontal="left" vertical="center"/>
    </xf>
    <xf numFmtId="0" fontId="86" fillId="0" borderId="0" xfId="9" applyFont="1" applyFill="1" applyBorder="1" applyAlignment="1">
      <alignment horizontal="right"/>
    </xf>
    <xf numFmtId="1" fontId="32" fillId="0" borderId="22" xfId="0" applyNumberFormat="1" applyFont="1" applyFill="1" applyBorder="1"/>
    <xf numFmtId="0" fontId="0" fillId="0" borderId="0" xfId="0" applyFill="1" applyBorder="1"/>
    <xf numFmtId="0" fontId="66" fillId="0" borderId="0" xfId="0" pivotButton="1" applyFont="1"/>
    <xf numFmtId="0" fontId="78" fillId="40" borderId="0" xfId="0" applyFont="1" applyFill="1" applyAlignment="1">
      <alignment wrapText="1"/>
    </xf>
    <xf numFmtId="0" fontId="115" fillId="26" borderId="0" xfId="0" applyFont="1" applyFill="1"/>
    <xf numFmtId="164" fontId="116" fillId="0" borderId="0" xfId="0" applyNumberFormat="1" applyFont="1" applyFill="1"/>
    <xf numFmtId="164" fontId="66" fillId="0" borderId="0" xfId="0" applyNumberFormat="1" applyFont="1" applyFill="1"/>
    <xf numFmtId="1" fontId="98" fillId="19" borderId="0" xfId="0" applyNumberFormat="1" applyFont="1" applyFill="1" applyBorder="1" applyAlignment="1">
      <alignment vertical="top" wrapText="1"/>
    </xf>
    <xf numFmtId="0" fontId="16" fillId="0" borderId="0" xfId="0" pivotButton="1" applyFont="1"/>
    <xf numFmtId="0" fontId="117" fillId="40" borderId="0" xfId="0" applyFont="1" applyFill="1" applyAlignment="1"/>
    <xf numFmtId="0" fontId="82" fillId="0" borderId="0" xfId="0" applyFont="1"/>
    <xf numFmtId="0" fontId="34" fillId="8" borderId="73" xfId="0" applyFont="1" applyFill="1" applyBorder="1" applyAlignment="1">
      <alignment horizontal="center" vertical="center" wrapText="1"/>
    </xf>
    <xf numFmtId="164" fontId="81" fillId="0" borderId="48" xfId="4" applyNumberFormat="1" applyFont="1" applyBorder="1"/>
    <xf numFmtId="0" fontId="32" fillId="0" borderId="25" xfId="0" applyFont="1" applyFill="1" applyBorder="1" applyAlignment="1">
      <alignment wrapText="1"/>
    </xf>
    <xf numFmtId="0" fontId="118" fillId="39" borderId="52" xfId="0" applyFont="1" applyFill="1" applyBorder="1"/>
    <xf numFmtId="0" fontId="91" fillId="0" borderId="0" xfId="0" applyFont="1" applyFill="1" applyAlignment="1">
      <alignment vertical="center"/>
    </xf>
    <xf numFmtId="0" fontId="32" fillId="9" borderId="0" xfId="0" applyFont="1" applyFill="1"/>
    <xf numFmtId="0" fontId="71" fillId="0" borderId="0" xfId="0" applyFont="1" applyFill="1"/>
    <xf numFmtId="0" fontId="71" fillId="0" borderId="0" xfId="0" applyNumberFormat="1" applyFont="1" applyFill="1" applyBorder="1"/>
    <xf numFmtId="0" fontId="71" fillId="0" borderId="0" xfId="0" applyFont="1" applyFill="1" applyBorder="1"/>
    <xf numFmtId="1" fontId="85" fillId="0" borderId="0" xfId="0" applyNumberFormat="1" applyFont="1" applyFill="1" applyBorder="1"/>
    <xf numFmtId="0" fontId="85" fillId="0" borderId="0" xfId="0" applyNumberFormat="1" applyFont="1" applyFill="1" applyBorder="1" applyAlignment="1">
      <alignment wrapText="1" readingOrder="1"/>
    </xf>
    <xf numFmtId="0" fontId="16" fillId="0" borderId="0" xfId="0" applyFont="1" applyAlignment="1">
      <alignment horizontal="center" vertical="center" wrapText="1"/>
    </xf>
    <xf numFmtId="0" fontId="79" fillId="0" borderId="0" xfId="0" applyFont="1" applyAlignment="1">
      <alignment horizontal="center" vertical="center" wrapText="1"/>
    </xf>
    <xf numFmtId="1" fontId="119" fillId="0" borderId="0" xfId="0" applyNumberFormat="1" applyFont="1" applyFill="1"/>
    <xf numFmtId="0" fontId="119" fillId="0" borderId="24" xfId="0" applyNumberFormat="1" applyFont="1" applyFill="1" applyBorder="1"/>
    <xf numFmtId="0" fontId="119" fillId="0" borderId="0" xfId="0" applyFont="1" applyFill="1"/>
    <xf numFmtId="0" fontId="119" fillId="0" borderId="0" xfId="0" applyNumberFormat="1" applyFont="1" applyFill="1" applyAlignment="1">
      <alignment wrapText="1" readingOrder="1"/>
    </xf>
    <xf numFmtId="165" fontId="119" fillId="0" borderId="0" xfId="0" applyNumberFormat="1" applyFont="1" applyFill="1"/>
    <xf numFmtId="165" fontId="119" fillId="0" borderId="0" xfId="0" applyNumberFormat="1" applyFont="1" applyFill="1" applyAlignment="1">
      <alignment wrapText="1" readingOrder="1"/>
    </xf>
    <xf numFmtId="0" fontId="119" fillId="0" borderId="0" xfId="0" applyFont="1" applyFill="1" applyAlignment="1">
      <alignment wrapText="1" readingOrder="1"/>
    </xf>
    <xf numFmtId="14" fontId="24" fillId="3" borderId="0" xfId="0" applyNumberFormat="1" applyFont="1" applyFill="1" applyBorder="1" applyAlignment="1">
      <alignment horizontal="left" vertical="center" readingOrder="1"/>
    </xf>
    <xf numFmtId="0" fontId="119" fillId="0" borderId="0" xfId="0" applyNumberFormat="1" applyFont="1" applyFill="1" applyBorder="1"/>
    <xf numFmtId="0" fontId="119" fillId="0" borderId="21" xfId="0" applyNumberFormat="1" applyFont="1" applyFill="1" applyBorder="1"/>
    <xf numFmtId="1" fontId="119" fillId="0" borderId="25" xfId="0" applyNumberFormat="1" applyFont="1" applyFill="1" applyBorder="1"/>
    <xf numFmtId="1" fontId="32" fillId="0" borderId="24" xfId="0" applyNumberFormat="1" applyFont="1" applyFill="1" applyBorder="1"/>
    <xf numFmtId="1" fontId="119" fillId="0" borderId="0" xfId="0" applyNumberFormat="1" applyFont="1" applyFill="1" applyBorder="1"/>
    <xf numFmtId="1" fontId="119" fillId="0" borderId="22" xfId="0" applyNumberFormat="1" applyFont="1" applyFill="1" applyBorder="1"/>
    <xf numFmtId="0" fontId="119" fillId="0" borderId="0" xfId="0" applyFont="1" applyFill="1" applyBorder="1"/>
    <xf numFmtId="0" fontId="119" fillId="0" borderId="0" xfId="0" applyNumberFormat="1" applyFont="1" applyFill="1" applyBorder="1" applyAlignment="1">
      <alignment wrapText="1" readingOrder="1"/>
    </xf>
    <xf numFmtId="1" fontId="42" fillId="9" borderId="0" xfId="0" applyNumberFormat="1" applyFont="1" applyFill="1" applyBorder="1" applyAlignment="1">
      <alignment horizontal="center" vertical="center" wrapText="1"/>
    </xf>
    <xf numFmtId="166" fontId="14" fillId="20" borderId="0" xfId="8" applyFont="1" applyFill="1" applyBorder="1"/>
    <xf numFmtId="0" fontId="77" fillId="0" borderId="0" xfId="0" applyFont="1" applyFill="1" applyAlignment="1">
      <alignment vertical="center"/>
    </xf>
    <xf numFmtId="0" fontId="120" fillId="0" borderId="0" xfId="0" applyFont="1" applyAlignment="1">
      <alignment horizontal="left"/>
    </xf>
    <xf numFmtId="9" fontId="120" fillId="0" borderId="0" xfId="0" applyNumberFormat="1" applyFont="1"/>
    <xf numFmtId="0" fontId="13" fillId="0" borderId="0" xfId="0" applyFont="1"/>
    <xf numFmtId="0" fontId="13" fillId="0" borderId="0" xfId="0" applyNumberFormat="1" applyFont="1"/>
    <xf numFmtId="164" fontId="13" fillId="0" borderId="0" xfId="0" applyNumberFormat="1" applyFont="1"/>
    <xf numFmtId="9" fontId="13" fillId="0" borderId="0" xfId="0" applyNumberFormat="1" applyFont="1"/>
    <xf numFmtId="0" fontId="94" fillId="0" borderId="21" xfId="0" applyNumberFormat="1" applyFont="1" applyFill="1" applyBorder="1"/>
    <xf numFmtId="1" fontId="119" fillId="0" borderId="49" xfId="0" applyNumberFormat="1" applyFont="1" applyFill="1" applyBorder="1"/>
    <xf numFmtId="1" fontId="94" fillId="0" borderId="22" xfId="0" applyNumberFormat="1" applyFont="1" applyFill="1" applyBorder="1"/>
    <xf numFmtId="0" fontId="86" fillId="0" borderId="17" xfId="9" applyFont="1" applyFill="1" applyBorder="1" applyAlignment="1"/>
    <xf numFmtId="0" fontId="29" fillId="0" borderId="39" xfId="0" applyFont="1" applyBorder="1" applyAlignment="1">
      <alignment wrapText="1"/>
    </xf>
    <xf numFmtId="0" fontId="29" fillId="0" borderId="39" xfId="0" applyFont="1" applyBorder="1"/>
    <xf numFmtId="0" fontId="29" fillId="0" borderId="40" xfId="0" applyFont="1" applyBorder="1"/>
    <xf numFmtId="0" fontId="80" fillId="0" borderId="42" xfId="0" applyNumberFormat="1" applyFont="1" applyBorder="1"/>
    <xf numFmtId="0" fontId="12" fillId="14" borderId="0" xfId="0" applyFont="1" applyFill="1" applyAlignment="1">
      <alignment horizontal="left"/>
    </xf>
    <xf numFmtId="164" fontId="12" fillId="14" borderId="0" xfId="0" applyNumberFormat="1" applyFont="1" applyFill="1"/>
    <xf numFmtId="9" fontId="12" fillId="14" borderId="0" xfId="0" applyNumberFormat="1" applyFont="1" applyFill="1"/>
    <xf numFmtId="0" fontId="77" fillId="0" borderId="0" xfId="0" applyFont="1" applyFill="1"/>
    <xf numFmtId="0" fontId="78" fillId="0" borderId="0" xfId="0" applyFont="1" applyFill="1"/>
    <xf numFmtId="0" fontId="12" fillId="0" borderId="0" xfId="0" applyFont="1" applyFill="1" applyAlignment="1">
      <alignment horizontal="left"/>
    </xf>
    <xf numFmtId="164" fontId="12" fillId="0" borderId="0" xfId="0" applyNumberFormat="1" applyFont="1" applyFill="1"/>
    <xf numFmtId="9" fontId="12" fillId="0" borderId="0" xfId="0" applyNumberFormat="1" applyFont="1" applyFill="1"/>
    <xf numFmtId="0" fontId="0" fillId="0" borderId="0" xfId="0" applyNumberFormat="1"/>
    <xf numFmtId="0" fontId="0" fillId="0" borderId="0" xfId="0"/>
    <xf numFmtId="14" fontId="24" fillId="3" borderId="2" xfId="0" applyNumberFormat="1" applyFont="1" applyFill="1" applyBorder="1" applyAlignment="1">
      <alignment horizontal="left" vertical="center" readingOrder="1"/>
    </xf>
    <xf numFmtId="9" fontId="24" fillId="0" borderId="0" xfId="1" applyFont="1" applyFill="1" applyAlignment="1">
      <alignment horizontal="left" vertical="center" readingOrder="1"/>
    </xf>
    <xf numFmtId="1" fontId="24" fillId="0" borderId="0" xfId="1" applyNumberFormat="1" applyFont="1" applyFill="1" applyAlignment="1">
      <alignment horizontal="left" vertical="center" readingOrder="1"/>
    </xf>
    <xf numFmtId="9" fontId="24" fillId="0" borderId="0" xfId="1" applyNumberFormat="1" applyFont="1" applyFill="1" applyAlignment="1">
      <alignment horizontal="left" vertical="center" readingOrder="1"/>
    </xf>
    <xf numFmtId="0" fontId="0" fillId="0" borderId="0" xfId="0" pivotButton="1"/>
    <xf numFmtId="0" fontId="32" fillId="0" borderId="0" xfId="0" applyFont="1" applyFill="1"/>
    <xf numFmtId="1" fontId="24" fillId="0" borderId="0" xfId="0" applyNumberFormat="1" applyFont="1" applyFill="1" applyAlignment="1">
      <alignment horizontal="left" vertical="center" readingOrder="1"/>
    </xf>
    <xf numFmtId="0" fontId="32" fillId="0" borderId="0" xfId="0" applyFont="1" applyFill="1" applyBorder="1"/>
    <xf numFmtId="0" fontId="71" fillId="0" borderId="0" xfId="0" applyNumberFormat="1" applyFont="1" applyFill="1"/>
    <xf numFmtId="0" fontId="32" fillId="0" borderId="0" xfId="0" applyNumberFormat="1" applyFont="1" applyFill="1"/>
    <xf numFmtId="1" fontId="32" fillId="0" borderId="0" xfId="0" applyNumberFormat="1" applyFont="1" applyFill="1"/>
    <xf numFmtId="0" fontId="32" fillId="0" borderId="0" xfId="0" applyFont="1" applyFill="1" applyAlignment="1">
      <alignment wrapText="1" readingOrder="1"/>
    </xf>
    <xf numFmtId="0" fontId="32" fillId="0" borderId="17" xfId="0" applyFont="1" applyFill="1" applyBorder="1"/>
    <xf numFmtId="0" fontId="32" fillId="0" borderId="0" xfId="0" applyNumberFormat="1" applyFont="1" applyFill="1" applyBorder="1"/>
    <xf numFmtId="1" fontId="32" fillId="0" borderId="0" xfId="0" applyNumberFormat="1" applyFont="1" applyFill="1" applyBorder="1"/>
    <xf numFmtId="0" fontId="32" fillId="0" borderId="0" xfId="0" applyFont="1" applyFill="1" applyBorder="1" applyAlignment="1">
      <alignment wrapText="1" readingOrder="1"/>
    </xf>
    <xf numFmtId="0" fontId="0" fillId="0" borderId="0" xfId="0" applyFill="1"/>
    <xf numFmtId="0" fontId="32" fillId="0" borderId="0" xfId="0" applyNumberFormat="1" applyFont="1" applyFill="1" applyAlignment="1">
      <alignment wrapText="1" readingOrder="1"/>
    </xf>
    <xf numFmtId="0" fontId="32" fillId="0" borderId="0" xfId="0" applyNumberFormat="1" applyFont="1" applyFill="1" applyBorder="1" applyAlignment="1">
      <alignment wrapText="1" readingOrder="1"/>
    </xf>
    <xf numFmtId="0" fontId="47" fillId="0" borderId="0" xfId="0" applyFont="1" applyFill="1" applyBorder="1" applyAlignment="1">
      <alignment horizontal="left" vertical="center" readingOrder="1"/>
    </xf>
    <xf numFmtId="0" fontId="47" fillId="0" borderId="0" xfId="0" applyNumberFormat="1" applyFont="1" applyFill="1" applyBorder="1" applyAlignment="1">
      <alignment horizontal="left" vertical="center" readingOrder="1"/>
    </xf>
    <xf numFmtId="0" fontId="48" fillId="0" borderId="0" xfId="9" applyFont="1" applyFill="1" applyAlignment="1"/>
    <xf numFmtId="0" fontId="32" fillId="0" borderId="22" xfId="0" applyFont="1" applyFill="1" applyBorder="1"/>
    <xf numFmtId="0" fontId="32" fillId="0" borderId="21" xfId="0" applyFont="1" applyFill="1" applyBorder="1"/>
    <xf numFmtId="0" fontId="32" fillId="0" borderId="21" xfId="0" applyNumberFormat="1" applyFont="1" applyFill="1" applyBorder="1"/>
    <xf numFmtId="1" fontId="32" fillId="0" borderId="21" xfId="0" applyNumberFormat="1" applyFont="1" applyFill="1" applyBorder="1"/>
    <xf numFmtId="0" fontId="32" fillId="0" borderId="25" xfId="0" applyFont="1" applyFill="1" applyBorder="1"/>
    <xf numFmtId="0" fontId="32" fillId="0" borderId="24" xfId="0" applyFont="1" applyFill="1" applyBorder="1"/>
    <xf numFmtId="0" fontId="24" fillId="0" borderId="0" xfId="0" applyNumberFormat="1" applyFont="1" applyFill="1" applyAlignment="1">
      <alignment horizontal="left" vertical="center" readingOrder="1"/>
    </xf>
    <xf numFmtId="165" fontId="32" fillId="0" borderId="0" xfId="0" applyNumberFormat="1" applyFont="1" applyFill="1"/>
    <xf numFmtId="165" fontId="32" fillId="0" borderId="0" xfId="0" applyNumberFormat="1" applyFont="1" applyFill="1" applyBorder="1"/>
    <xf numFmtId="165" fontId="47" fillId="0" borderId="0" xfId="0" applyNumberFormat="1" applyFont="1" applyFill="1" applyBorder="1" applyAlignment="1">
      <alignment horizontal="left" vertical="center" wrapText="1" readingOrder="1"/>
    </xf>
    <xf numFmtId="0" fontId="32" fillId="0" borderId="49" xfId="0" applyFont="1" applyFill="1" applyBorder="1"/>
    <xf numFmtId="0" fontId="86" fillId="0" borderId="0" xfId="9" applyFont="1" applyAlignment="1"/>
    <xf numFmtId="0" fontId="47" fillId="0" borderId="24" xfId="0" applyFont="1" applyFill="1" applyBorder="1" applyAlignment="1">
      <alignment horizontal="left" vertical="center" readingOrder="1"/>
    </xf>
    <xf numFmtId="0" fontId="86" fillId="0" borderId="0" xfId="9" applyFont="1" applyFill="1" applyBorder="1" applyAlignment="1"/>
    <xf numFmtId="0" fontId="32" fillId="0" borderId="0" xfId="0" applyFont="1" applyBorder="1"/>
    <xf numFmtId="0" fontId="32" fillId="0" borderId="24" xfId="0" applyNumberFormat="1" applyFont="1" applyFill="1" applyBorder="1"/>
    <xf numFmtId="1" fontId="32" fillId="0" borderId="25" xfId="0" applyNumberFormat="1" applyFont="1" applyFill="1" applyBorder="1"/>
    <xf numFmtId="0" fontId="47" fillId="0" borderId="25" xfId="0" applyFont="1" applyFill="1" applyBorder="1" applyAlignment="1">
      <alignment horizontal="left" vertical="center" readingOrder="1"/>
    </xf>
    <xf numFmtId="49" fontId="91" fillId="0" borderId="0" xfId="0" applyNumberFormat="1" applyFont="1" applyFill="1" applyBorder="1" applyAlignment="1">
      <alignment horizontal="left" vertical="center"/>
    </xf>
    <xf numFmtId="0" fontId="91" fillId="0" borderId="0" xfId="0" applyFont="1" applyFill="1" applyBorder="1" applyAlignment="1">
      <alignment horizontal="left" vertical="center"/>
    </xf>
    <xf numFmtId="49" fontId="91" fillId="0" borderId="0" xfId="21" applyNumberFormat="1" applyFont="1" applyFill="1" applyBorder="1" applyAlignment="1">
      <alignment horizontal="left" vertical="center"/>
    </xf>
    <xf numFmtId="0" fontId="32" fillId="0" borderId="24" xfId="0" applyFont="1" applyFill="1" applyBorder="1" applyAlignment="1"/>
    <xf numFmtId="0" fontId="32" fillId="0" borderId="0" xfId="0" applyFont="1" applyFill="1" applyAlignment="1"/>
    <xf numFmtId="165" fontId="32" fillId="0" borderId="0" xfId="0" applyNumberFormat="1" applyFont="1" applyFill="1" applyAlignment="1"/>
    <xf numFmtId="0" fontId="32" fillId="0" borderId="0" xfId="0" applyFont="1" applyFill="1" applyAlignment="1">
      <alignment readingOrder="1"/>
    </xf>
    <xf numFmtId="49" fontId="71" fillId="42" borderId="25" xfId="0" applyNumberFormat="1" applyFont="1" applyFill="1" applyBorder="1" applyAlignment="1">
      <alignment horizontal="left" vertical="center"/>
    </xf>
    <xf numFmtId="0" fontId="91" fillId="42" borderId="25" xfId="0" applyFont="1" applyFill="1" applyBorder="1" applyAlignment="1">
      <alignment horizontal="left" vertical="center"/>
    </xf>
    <xf numFmtId="1" fontId="32" fillId="0" borderId="49" xfId="0" applyNumberFormat="1" applyFont="1" applyFill="1" applyBorder="1"/>
    <xf numFmtId="0" fontId="86" fillId="0" borderId="0" xfId="9" applyFont="1" applyFill="1" applyBorder="1" applyAlignment="1">
      <alignment horizontal="right"/>
    </xf>
    <xf numFmtId="164" fontId="24" fillId="0" borderId="0" xfId="4" applyNumberFormat="1" applyFont="1" applyFill="1" applyAlignment="1">
      <alignment horizontal="left" vertical="center" readingOrder="1"/>
    </xf>
    <xf numFmtId="0" fontId="85" fillId="0" borderId="17" xfId="0" applyFont="1" applyFill="1" applyBorder="1"/>
    <xf numFmtId="165" fontId="32" fillId="0" borderId="0" xfId="0" applyNumberFormat="1" applyFont="1" applyFill="1" applyAlignment="1">
      <alignment wrapText="1" readingOrder="1"/>
    </xf>
    <xf numFmtId="0" fontId="29" fillId="0" borderId="38" xfId="0" applyFont="1" applyBorder="1" applyAlignment="1">
      <alignment wrapText="1"/>
    </xf>
    <xf numFmtId="1" fontId="16" fillId="0" borderId="0" xfId="1" applyNumberFormat="1" applyFont="1"/>
    <xf numFmtId="0" fontId="34" fillId="8" borderId="73" xfId="0" applyFont="1" applyFill="1" applyBorder="1" applyAlignment="1">
      <alignment horizontal="center" vertical="center" wrapText="1"/>
    </xf>
    <xf numFmtId="1" fontId="121" fillId="0" borderId="0" xfId="0" applyNumberFormat="1" applyFont="1" applyFill="1"/>
    <xf numFmtId="0" fontId="121" fillId="0" borderId="24" xfId="0" applyNumberFormat="1" applyFont="1" applyFill="1" applyBorder="1"/>
    <xf numFmtId="1"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0" fontId="31" fillId="18" borderId="66" xfId="19" applyFont="1" applyFill="1" applyBorder="1" applyAlignment="1">
      <alignment horizontal="left" vertical="center" wrapText="1"/>
    </xf>
    <xf numFmtId="0" fontId="31" fillId="11" borderId="66" xfId="19" applyFont="1" applyFill="1" applyBorder="1" applyAlignment="1">
      <alignment horizontal="left" vertical="center" wrapText="1"/>
    </xf>
    <xf numFmtId="9" fontId="31" fillId="46" borderId="69" xfId="19" applyNumberFormat="1" applyFont="1" applyFill="1" applyBorder="1" applyAlignment="1">
      <alignment horizontal="left" vertical="center" wrapText="1" readingOrder="1"/>
    </xf>
    <xf numFmtId="9" fontId="31" fillId="34" borderId="69" xfId="19" applyNumberFormat="1" applyFont="1" applyFill="1" applyBorder="1" applyAlignment="1">
      <alignment horizontal="left" vertical="center" wrapText="1" readingOrder="1"/>
    </xf>
    <xf numFmtId="9" fontId="123" fillId="37" borderId="0" xfId="19" applyNumberFormat="1" applyFont="1" applyFill="1" applyBorder="1" applyAlignment="1">
      <alignment horizontal="center" vertical="center" wrapText="1" readingOrder="1"/>
    </xf>
    <xf numFmtId="0" fontId="112" fillId="38" borderId="66" xfId="22" applyNumberFormat="1" applyFont="1" applyFill="1" applyBorder="1" applyAlignment="1">
      <alignment horizontal="center" vertical="center" readingOrder="1"/>
    </xf>
    <xf numFmtId="0" fontId="112" fillId="9" borderId="66" xfId="22" applyNumberFormat="1" applyFont="1" applyFill="1" applyBorder="1" applyAlignment="1">
      <alignment horizontal="center" vertical="center" readingOrder="1"/>
    </xf>
    <xf numFmtId="0" fontId="112" fillId="16" borderId="66" xfId="22" applyNumberFormat="1" applyFont="1" applyFill="1" applyBorder="1" applyAlignment="1">
      <alignment horizontal="center" vertical="center" readingOrder="1"/>
    </xf>
    <xf numFmtId="0" fontId="112" fillId="45" borderId="0" xfId="22" applyNumberFormat="1" applyFont="1" applyFill="1" applyBorder="1" applyAlignment="1">
      <alignment horizontal="center" vertical="center" readingOrder="1"/>
    </xf>
    <xf numFmtId="0" fontId="112" fillId="14" borderId="66" xfId="22" applyNumberFormat="1" applyFont="1" applyFill="1" applyBorder="1" applyAlignment="1">
      <alignment horizontal="center" vertical="center" readingOrder="1"/>
    </xf>
    <xf numFmtId="1" fontId="34" fillId="9" borderId="73" xfId="0" applyNumberFormat="1" applyFont="1" applyFill="1" applyBorder="1" applyAlignment="1">
      <alignment horizontal="center" vertical="center" wrapText="1"/>
    </xf>
    <xf numFmtId="9" fontId="34" fillId="9" borderId="80" xfId="1" applyFont="1" applyFill="1" applyBorder="1" applyAlignment="1">
      <alignment horizontal="center" vertical="center" wrapText="1"/>
    </xf>
    <xf numFmtId="9" fontId="34" fillId="9" borderId="89" xfId="1" applyFont="1" applyFill="1" applyBorder="1" applyAlignment="1">
      <alignment horizontal="center" vertical="center" wrapText="1"/>
    </xf>
    <xf numFmtId="1" fontId="34" fillId="9" borderId="74" xfId="0" applyNumberFormat="1" applyFont="1" applyFill="1" applyBorder="1" applyAlignment="1">
      <alignment horizontal="center" vertical="center" wrapText="1"/>
    </xf>
    <xf numFmtId="0" fontId="33" fillId="22" borderId="13" xfId="0" applyNumberFormat="1" applyFont="1" applyFill="1" applyBorder="1" applyAlignment="1">
      <alignment horizontal="center" vertical="center" readingOrder="1"/>
    </xf>
    <xf numFmtId="0" fontId="33" fillId="22" borderId="2" xfId="0" applyNumberFormat="1" applyFont="1" applyFill="1" applyBorder="1" applyAlignment="1">
      <alignment horizontal="center" vertical="center" readingOrder="1"/>
    </xf>
    <xf numFmtId="0" fontId="35" fillId="0" borderId="0" xfId="0" applyFont="1" applyAlignment="1">
      <alignment horizontal="center"/>
    </xf>
    <xf numFmtId="0" fontId="23" fillId="14" borderId="91" xfId="22" applyNumberFormat="1" applyFont="1" applyFill="1" applyBorder="1" applyAlignment="1">
      <alignment horizontal="center" vertical="center" wrapText="1"/>
    </xf>
    <xf numFmtId="0" fontId="23" fillId="38" borderId="67" xfId="22" applyNumberFormat="1" applyFont="1" applyFill="1" applyBorder="1" applyAlignment="1">
      <alignment horizontal="center" vertical="center"/>
    </xf>
    <xf numFmtId="0" fontId="23" fillId="9" borderId="67" xfId="22" applyNumberFormat="1" applyFont="1" applyFill="1" applyBorder="1" applyAlignment="1">
      <alignment horizontal="center" vertical="center" wrapText="1"/>
    </xf>
    <xf numFmtId="9" fontId="123" fillId="16" borderId="91" xfId="19" applyNumberFormat="1" applyFont="1" applyFill="1" applyBorder="1" applyAlignment="1">
      <alignment horizontal="center" vertical="center" wrapText="1" readingOrder="1"/>
    </xf>
    <xf numFmtId="1" fontId="65" fillId="7" borderId="14" xfId="19" applyNumberFormat="1" applyFont="1" applyFill="1" applyBorder="1" applyAlignment="1">
      <alignment horizontal="left" vertical="center" wrapText="1" readingOrder="1"/>
    </xf>
    <xf numFmtId="0" fontId="65" fillId="7" borderId="14" xfId="19" applyFont="1" applyFill="1" applyBorder="1" applyAlignment="1">
      <alignment horizontal="left" vertical="center" wrapText="1" readingOrder="1"/>
    </xf>
    <xf numFmtId="9" fontId="65" fillId="11" borderId="14" xfId="19" applyNumberFormat="1" applyFont="1" applyFill="1" applyBorder="1" applyAlignment="1">
      <alignment horizontal="center" vertical="center" wrapText="1"/>
    </xf>
    <xf numFmtId="9" fontId="65" fillId="34" borderId="14" xfId="19" applyNumberFormat="1" applyFont="1" applyFill="1" applyBorder="1" applyAlignment="1">
      <alignment horizontal="left" vertical="center" wrapText="1" readingOrder="1"/>
    </xf>
    <xf numFmtId="9" fontId="65" fillId="27" borderId="14" xfId="19" applyNumberFormat="1" applyFont="1" applyFill="1" applyBorder="1" applyAlignment="1">
      <alignment horizontal="left" vertical="center" wrapText="1" readingOrder="1"/>
    </xf>
    <xf numFmtId="49" fontId="24" fillId="0" borderId="0" xfId="1" applyNumberFormat="1" applyFont="1" applyFill="1" applyAlignment="1">
      <alignment horizontal="left" vertical="center" readingOrder="1"/>
    </xf>
    <xf numFmtId="0" fontId="112" fillId="18" borderId="75" xfId="0" applyFont="1" applyFill="1" applyBorder="1" applyAlignment="1">
      <alignment vertical="top" wrapText="1"/>
    </xf>
    <xf numFmtId="0" fontId="112" fillId="18" borderId="73" xfId="0" applyFont="1" applyFill="1" applyBorder="1" applyAlignment="1">
      <alignment vertical="top" wrapText="1"/>
    </xf>
    <xf numFmtId="1" fontId="112" fillId="18" borderId="76" xfId="0" applyNumberFormat="1" applyFont="1" applyFill="1" applyBorder="1" applyAlignment="1">
      <alignment vertical="top" wrapText="1"/>
    </xf>
    <xf numFmtId="1" fontId="125" fillId="18" borderId="80" xfId="0" applyNumberFormat="1" applyFont="1" applyFill="1" applyBorder="1" applyAlignment="1">
      <alignment vertical="top" wrapText="1"/>
    </xf>
    <xf numFmtId="1" fontId="112" fillId="18" borderId="80" xfId="0" applyNumberFormat="1" applyFont="1" applyFill="1" applyBorder="1" applyAlignment="1">
      <alignment vertical="top" wrapText="1"/>
    </xf>
    <xf numFmtId="0" fontId="112" fillId="18" borderId="76" xfId="0" applyFont="1" applyFill="1" applyBorder="1" applyAlignment="1">
      <alignment vertical="top" wrapText="1"/>
    </xf>
    <xf numFmtId="1" fontId="126" fillId="6" borderId="73" xfId="0" applyNumberFormat="1" applyFont="1" applyFill="1" applyBorder="1" applyAlignment="1">
      <alignment vertical="top" wrapText="1"/>
    </xf>
    <xf numFmtId="1" fontId="112" fillId="6" borderId="73" xfId="0" applyNumberFormat="1" applyFont="1" applyFill="1" applyBorder="1" applyAlignment="1">
      <alignment vertical="top" wrapText="1"/>
    </xf>
    <xf numFmtId="1" fontId="112" fillId="6" borderId="80" xfId="0" applyNumberFormat="1" applyFont="1" applyFill="1" applyBorder="1" applyAlignment="1">
      <alignment vertical="top" wrapText="1"/>
    </xf>
    <xf numFmtId="1" fontId="112" fillId="6" borderId="75" xfId="0" applyNumberFormat="1" applyFont="1" applyFill="1" applyBorder="1" applyAlignment="1">
      <alignment vertical="top" wrapText="1"/>
    </xf>
    <xf numFmtId="0" fontId="112" fillId="6" borderId="76" xfId="0" applyFont="1" applyFill="1" applyBorder="1" applyAlignment="1">
      <alignment vertical="top" wrapText="1"/>
    </xf>
    <xf numFmtId="0" fontId="112" fillId="6" borderId="74" xfId="0" applyFont="1" applyFill="1" applyBorder="1" applyAlignment="1">
      <alignment vertical="top" wrapText="1"/>
    </xf>
    <xf numFmtId="1" fontId="112" fillId="9" borderId="73" xfId="0" applyNumberFormat="1" applyFont="1" applyFill="1" applyBorder="1" applyAlignment="1">
      <alignment vertical="top" wrapText="1"/>
    </xf>
    <xf numFmtId="1" fontId="129" fillId="9" borderId="73" xfId="0" applyNumberFormat="1" applyFont="1" applyFill="1" applyBorder="1" applyAlignment="1">
      <alignment vertical="top" wrapText="1"/>
    </xf>
    <xf numFmtId="9" fontId="112" fillId="9" borderId="80" xfId="1" applyNumberFormat="1" applyFont="1" applyFill="1" applyBorder="1" applyAlignment="1">
      <alignment vertical="top" wrapText="1"/>
    </xf>
    <xf numFmtId="9" fontId="112" fillId="9" borderId="89" xfId="1" applyNumberFormat="1" applyFont="1" applyFill="1" applyBorder="1" applyAlignment="1">
      <alignment vertical="top" wrapText="1"/>
    </xf>
    <xf numFmtId="1" fontId="112" fillId="9" borderId="74" xfId="0" applyNumberFormat="1" applyFont="1" applyFill="1" applyBorder="1" applyAlignment="1">
      <alignment vertical="top" wrapText="1"/>
    </xf>
    <xf numFmtId="0" fontId="30" fillId="0" borderId="0" xfId="0" applyFont="1" applyAlignment="1"/>
    <xf numFmtId="0" fontId="34" fillId="8" borderId="80" xfId="0" applyFont="1" applyFill="1" applyBorder="1" applyAlignment="1">
      <alignment horizontal="center" vertical="center" wrapText="1"/>
    </xf>
    <xf numFmtId="0" fontId="34" fillId="8" borderId="73" xfId="0" applyFont="1" applyFill="1" applyBorder="1" applyAlignment="1">
      <alignment horizontal="center" vertical="center" wrapText="1"/>
    </xf>
    <xf numFmtId="0" fontId="31" fillId="18" borderId="66" xfId="19" applyFont="1" applyFill="1" applyBorder="1" applyAlignment="1">
      <alignment horizontal="center" vertical="center" wrapText="1"/>
    </xf>
    <xf numFmtId="0" fontId="31" fillId="18" borderId="66" xfId="19" applyFont="1" applyFill="1" applyBorder="1" applyAlignment="1">
      <alignment horizontal="center" vertical="center" wrapText="1" readingOrder="1"/>
    </xf>
    <xf numFmtId="14" fontId="31" fillId="18" borderId="66" xfId="19" applyNumberFormat="1" applyFont="1" applyFill="1" applyBorder="1" applyAlignment="1">
      <alignment horizontal="center" vertical="center" wrapText="1" readingOrder="1"/>
    </xf>
    <xf numFmtId="1" fontId="31" fillId="7" borderId="66" xfId="19" applyNumberFormat="1" applyFont="1" applyFill="1" applyBorder="1" applyAlignment="1">
      <alignment horizontal="center" vertical="center" wrapText="1" readingOrder="1"/>
    </xf>
    <xf numFmtId="0" fontId="31" fillId="7" borderId="66" xfId="19" applyFont="1" applyFill="1" applyBorder="1" applyAlignment="1">
      <alignment horizontal="center" vertical="center" wrapText="1" readingOrder="1"/>
    </xf>
    <xf numFmtId="0" fontId="31" fillId="11" borderId="66" xfId="20" applyNumberFormat="1" applyFont="1" applyFill="1" applyBorder="1" applyAlignment="1">
      <alignment horizontal="center" vertical="center" wrapText="1" readingOrder="1"/>
    </xf>
    <xf numFmtId="0" fontId="31" fillId="11" borderId="66" xfId="19" applyFont="1" applyFill="1" applyBorder="1" applyAlignment="1">
      <alignment horizontal="center" vertical="center" wrapText="1"/>
    </xf>
    <xf numFmtId="9" fontId="31" fillId="11" borderId="69" xfId="19" applyNumberFormat="1" applyFont="1" applyFill="1" applyBorder="1" applyAlignment="1">
      <alignment horizontal="center" vertical="center" wrapText="1" readingOrder="1"/>
    </xf>
    <xf numFmtId="9" fontId="31" fillId="34" borderId="69" xfId="19" applyNumberFormat="1" applyFont="1" applyFill="1" applyBorder="1" applyAlignment="1">
      <alignment horizontal="center" vertical="center" wrapText="1" readingOrder="1"/>
    </xf>
    <xf numFmtId="9" fontId="31" fillId="27" borderId="0" xfId="19" applyNumberFormat="1" applyFont="1" applyFill="1" applyBorder="1" applyAlignment="1">
      <alignment horizontal="center" vertical="center" wrapText="1" readingOrder="1"/>
    </xf>
    <xf numFmtId="0" fontId="34" fillId="5" borderId="85" xfId="0" applyFont="1" applyFill="1" applyBorder="1" applyAlignment="1">
      <alignment vertical="center"/>
    </xf>
    <xf numFmtId="0" fontId="34" fillId="5" borderId="94" xfId="0" applyFont="1" applyFill="1" applyBorder="1" applyAlignment="1">
      <alignment vertical="center"/>
    </xf>
    <xf numFmtId="1" fontId="98" fillId="18" borderId="96" xfId="0" applyNumberFormat="1" applyFont="1" applyFill="1" applyBorder="1" applyAlignment="1">
      <alignment vertical="top" wrapText="1"/>
    </xf>
    <xf numFmtId="1" fontId="98" fillId="18" borderId="98" xfId="0" applyNumberFormat="1" applyFont="1" applyFill="1" applyBorder="1" applyAlignment="1">
      <alignment vertical="top" wrapText="1"/>
    </xf>
    <xf numFmtId="0" fontId="34" fillId="5" borderId="95" xfId="0" applyFont="1" applyFill="1" applyBorder="1" applyAlignment="1">
      <alignment horizontal="center" vertical="center" wrapText="1"/>
    </xf>
    <xf numFmtId="0" fontId="34" fillId="5" borderId="97" xfId="0" applyFont="1" applyFill="1" applyBorder="1" applyAlignment="1">
      <alignment horizontal="center" vertical="center" wrapText="1"/>
    </xf>
    <xf numFmtId="1" fontId="34" fillId="8" borderId="73" xfId="0" applyNumberFormat="1" applyFont="1" applyFill="1" applyBorder="1" applyAlignment="1">
      <alignment horizontal="center" vertical="center" wrapText="1"/>
    </xf>
    <xf numFmtId="1" fontId="39" fillId="8" borderId="73" xfId="0" applyNumberFormat="1" applyFont="1" applyFill="1" applyBorder="1" applyAlignment="1">
      <alignment horizontal="center" vertical="center" wrapText="1"/>
    </xf>
    <xf numFmtId="0" fontId="34" fillId="8" borderId="75" xfId="0" applyFont="1" applyFill="1" applyBorder="1" applyAlignment="1">
      <alignment horizontal="center" vertical="center" wrapText="1"/>
    </xf>
    <xf numFmtId="0" fontId="34" fillId="8" borderId="76" xfId="0" applyFont="1" applyFill="1" applyBorder="1" applyAlignment="1">
      <alignment horizontal="center" vertical="center" wrapText="1"/>
    </xf>
    <xf numFmtId="164" fontId="116" fillId="12" borderId="29" xfId="4" applyNumberFormat="1" applyFont="1" applyFill="1" applyBorder="1" applyAlignment="1">
      <alignment horizontal="center" vertical="center"/>
    </xf>
    <xf numFmtId="164" fontId="116" fillId="12" borderId="34" xfId="4" applyNumberFormat="1" applyFont="1" applyFill="1" applyBorder="1" applyAlignment="1">
      <alignment horizontal="center" vertical="center"/>
    </xf>
    <xf numFmtId="9" fontId="116" fillId="12" borderId="34" xfId="1" applyFont="1" applyFill="1" applyBorder="1" applyAlignment="1">
      <alignment horizontal="center" vertical="center"/>
    </xf>
    <xf numFmtId="164" fontId="116" fillId="12" borderId="29" xfId="4" applyNumberFormat="1" applyFont="1" applyFill="1" applyBorder="1" applyAlignment="1">
      <alignment horizontal="left" vertical="center" wrapText="1"/>
    </xf>
    <xf numFmtId="0" fontId="73" fillId="0" borderId="31" xfId="0" applyFont="1" applyBorder="1" applyAlignment="1">
      <alignment horizontal="center" vertical="center" wrapText="1"/>
    </xf>
    <xf numFmtId="0" fontId="84" fillId="0" borderId="0" xfId="0" applyFont="1"/>
    <xf numFmtId="0" fontId="73" fillId="0" borderId="104" xfId="0" applyFont="1" applyBorder="1" applyAlignment="1">
      <alignment vertical="center" wrapText="1"/>
    </xf>
    <xf numFmtId="0" fontId="73" fillId="0" borderId="105" xfId="0" applyFont="1" applyBorder="1" applyAlignment="1">
      <alignment vertical="center" wrapText="1"/>
    </xf>
    <xf numFmtId="0" fontId="73" fillId="33" borderId="30" xfId="0" applyFont="1" applyFill="1" applyBorder="1" applyAlignment="1">
      <alignment horizontal="center" vertical="center" wrapText="1"/>
    </xf>
    <xf numFmtId="0" fontId="73" fillId="33" borderId="31" xfId="0" applyFont="1" applyFill="1" applyBorder="1" applyAlignment="1">
      <alignment horizontal="center" vertical="center" wrapText="1"/>
    </xf>
    <xf numFmtId="0" fontId="73" fillId="33" borderId="32" xfId="0" applyFont="1" applyFill="1" applyBorder="1" applyAlignment="1">
      <alignment horizontal="center" vertical="center" wrapText="1"/>
    </xf>
    <xf numFmtId="0" fontId="65" fillId="49" borderId="107" xfId="0" applyNumberFormat="1" applyFont="1" applyFill="1" applyBorder="1" applyAlignment="1">
      <alignment horizontal="center" vertical="center" wrapText="1" readingOrder="1"/>
    </xf>
    <xf numFmtId="0" fontId="82" fillId="39" borderId="108" xfId="0" applyFont="1" applyFill="1" applyBorder="1"/>
    <xf numFmtId="0" fontId="0" fillId="0" borderId="4" xfId="0" applyBorder="1"/>
    <xf numFmtId="0" fontId="11" fillId="0" borderId="4" xfId="0" applyFont="1" applyBorder="1"/>
    <xf numFmtId="0" fontId="79" fillId="0" borderId="4" xfId="0" applyFont="1" applyBorder="1"/>
    <xf numFmtId="0" fontId="81" fillId="0" borderId="4" xfId="0" applyFont="1" applyBorder="1" applyAlignment="1">
      <alignment horizontal="left"/>
    </xf>
    <xf numFmtId="9" fontId="16" fillId="0" borderId="4" xfId="1" applyFont="1" applyBorder="1"/>
    <xf numFmtId="0" fontId="11" fillId="0" borderId="54" xfId="0" applyNumberFormat="1" applyFont="1" applyBorder="1"/>
    <xf numFmtId="0" fontId="82" fillId="39" borderId="52" xfId="0" applyFont="1" applyFill="1" applyBorder="1"/>
    <xf numFmtId="0" fontId="11" fillId="0" borderId="53" xfId="0" applyNumberFormat="1" applyFont="1" applyBorder="1"/>
    <xf numFmtId="0" fontId="79" fillId="0" borderId="0" xfId="0" pivotButton="1" applyFont="1"/>
    <xf numFmtId="0" fontId="82" fillId="39" borderId="108" xfId="0" applyFont="1" applyFill="1" applyBorder="1" applyAlignment="1">
      <alignment vertical="top"/>
    </xf>
    <xf numFmtId="9" fontId="132" fillId="0" borderId="113" xfId="0" applyNumberFormat="1" applyFont="1" applyBorder="1"/>
    <xf numFmtId="0" fontId="115" fillId="9" borderId="109" xfId="0" applyFont="1" applyFill="1" applyBorder="1" applyAlignment="1">
      <alignment horizontal="center" vertical="center"/>
    </xf>
    <xf numFmtId="0" fontId="78" fillId="9" borderId="110" xfId="0" applyFont="1" applyFill="1" applyBorder="1" applyAlignment="1">
      <alignment horizontal="center" vertical="center"/>
    </xf>
    <xf numFmtId="0" fontId="78" fillId="9" borderId="111" xfId="0" applyFont="1" applyFill="1" applyBorder="1" applyAlignment="1">
      <alignment horizontal="center" vertical="center"/>
    </xf>
    <xf numFmtId="0" fontId="29" fillId="0" borderId="112" xfId="0" applyFont="1" applyBorder="1"/>
    <xf numFmtId="0" fontId="79" fillId="0" borderId="118" xfId="0" applyFont="1" applyBorder="1"/>
    <xf numFmtId="9" fontId="134" fillId="0" borderId="122" xfId="0" applyNumberFormat="1" applyFont="1" applyBorder="1"/>
    <xf numFmtId="9" fontId="134" fillId="0" borderId="123" xfId="0" applyNumberFormat="1" applyFont="1" applyBorder="1"/>
    <xf numFmtId="0" fontId="133" fillId="0" borderId="124" xfId="0" applyFont="1" applyBorder="1"/>
    <xf numFmtId="9" fontId="134" fillId="0" borderId="125" xfId="0" applyNumberFormat="1" applyFont="1" applyBorder="1"/>
    <xf numFmtId="9" fontId="134" fillId="0" borderId="126" xfId="0" applyNumberFormat="1" applyFont="1" applyBorder="1"/>
    <xf numFmtId="0" fontId="10" fillId="0" borderId="0" xfId="0" applyFont="1"/>
    <xf numFmtId="0" fontId="136" fillId="50" borderId="117" xfId="0" applyFont="1" applyFill="1" applyBorder="1"/>
    <xf numFmtId="0" fontId="136" fillId="50" borderId="81" xfId="0" applyFont="1" applyFill="1" applyBorder="1"/>
    <xf numFmtId="9" fontId="135" fillId="50" borderId="116" xfId="0" applyNumberFormat="1" applyFont="1" applyFill="1" applyBorder="1"/>
    <xf numFmtId="9" fontId="135" fillId="50" borderId="115" xfId="0" applyNumberFormat="1" applyFont="1" applyFill="1" applyBorder="1"/>
    <xf numFmtId="0" fontId="79" fillId="12" borderId="119" xfId="0" applyFont="1" applyFill="1" applyBorder="1"/>
    <xf numFmtId="0" fontId="79" fillId="12" borderId="120" xfId="0" applyFont="1" applyFill="1" applyBorder="1"/>
    <xf numFmtId="0" fontId="75" fillId="16" borderId="0" xfId="0" applyFont="1" applyFill="1"/>
    <xf numFmtId="0" fontId="29" fillId="16" borderId="0" xfId="0" applyFont="1" applyFill="1"/>
    <xf numFmtId="0" fontId="136" fillId="50" borderId="82" xfId="0" applyFont="1" applyFill="1" applyBorder="1"/>
    <xf numFmtId="9" fontId="135" fillId="50" borderId="114" xfId="0" applyNumberFormat="1" applyFont="1" applyFill="1" applyBorder="1"/>
    <xf numFmtId="0" fontId="132" fillId="0" borderId="130" xfId="0" applyFont="1" applyBorder="1" applyAlignment="1">
      <alignment horizontal="left"/>
    </xf>
    <xf numFmtId="0" fontId="66" fillId="0" borderId="60" xfId="0" applyFont="1" applyFill="1" applyBorder="1" applyAlignment="1">
      <alignment vertical="center"/>
    </xf>
    <xf numFmtId="0" fontId="66" fillId="0" borderId="23" xfId="0" applyFont="1" applyFill="1" applyBorder="1" applyAlignment="1">
      <alignment vertical="center"/>
    </xf>
    <xf numFmtId="164" fontId="66" fillId="0" borderId="23" xfId="4" applyNumberFormat="1" applyFont="1" applyFill="1" applyBorder="1" applyAlignment="1">
      <alignment vertical="center"/>
    </xf>
    <xf numFmtId="9" fontId="66" fillId="0" borderId="23" xfId="0" applyNumberFormat="1" applyFont="1" applyFill="1" applyBorder="1" applyAlignment="1">
      <alignment horizontal="center" vertical="center"/>
    </xf>
    <xf numFmtId="9" fontId="66" fillId="0" borderId="61" xfId="0" applyNumberFormat="1" applyFont="1" applyFill="1" applyBorder="1" applyAlignment="1">
      <alignment horizontal="center" vertical="center"/>
    </xf>
    <xf numFmtId="0" fontId="66" fillId="0" borderId="62" xfId="0" applyFont="1" applyFill="1" applyBorder="1" applyAlignment="1">
      <alignment vertical="center"/>
    </xf>
    <xf numFmtId="0" fontId="66" fillId="0" borderId="57" xfId="0" applyFont="1" applyFill="1" applyBorder="1" applyAlignment="1">
      <alignment vertical="center" wrapText="1"/>
    </xf>
    <xf numFmtId="164" fontId="66" fillId="0" borderId="57" xfId="4" applyNumberFormat="1" applyFont="1" applyFill="1" applyBorder="1" applyAlignment="1">
      <alignment vertical="center"/>
    </xf>
    <xf numFmtId="9" fontId="66" fillId="0" borderId="57" xfId="0" applyNumberFormat="1" applyFont="1" applyFill="1" applyBorder="1" applyAlignment="1">
      <alignment horizontal="center" vertical="center"/>
    </xf>
    <xf numFmtId="0" fontId="67" fillId="0" borderId="64" xfId="0" applyFont="1" applyFill="1" applyBorder="1" applyAlignment="1">
      <alignment horizontal="left" vertical="center"/>
    </xf>
    <xf numFmtId="0" fontId="67" fillId="0" borderId="65" xfId="0" applyFont="1" applyFill="1" applyBorder="1" applyAlignment="1">
      <alignment vertical="center"/>
    </xf>
    <xf numFmtId="164" fontId="67" fillId="0" borderId="65" xfId="0" applyNumberFormat="1" applyFont="1" applyFill="1" applyBorder="1" applyAlignment="1">
      <alignment vertical="center"/>
    </xf>
    <xf numFmtId="9" fontId="67" fillId="0" borderId="65" xfId="1" applyFont="1" applyFill="1" applyBorder="1" applyAlignment="1">
      <alignment horizontal="center" vertical="center"/>
    </xf>
    <xf numFmtId="0" fontId="9" fillId="0" borderId="0" xfId="0" applyFont="1"/>
    <xf numFmtId="0" fontId="78" fillId="35" borderId="56" xfId="0" applyFont="1" applyFill="1" applyBorder="1" applyAlignment="1">
      <alignment horizontal="center" vertical="center"/>
    </xf>
    <xf numFmtId="0" fontId="78" fillId="35" borderId="56" xfId="0" applyFont="1" applyFill="1" applyBorder="1" applyAlignment="1">
      <alignment horizontal="center" vertical="center" wrapText="1"/>
    </xf>
    <xf numFmtId="0" fontId="78" fillId="35" borderId="59" xfId="0" applyFont="1" applyFill="1" applyBorder="1" applyAlignment="1">
      <alignment horizontal="center" vertical="center" wrapText="1"/>
    </xf>
    <xf numFmtId="0" fontId="82"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2" fillId="51" borderId="133" xfId="0" applyFont="1" applyFill="1" applyBorder="1" applyAlignment="1">
      <alignment wrapText="1"/>
    </xf>
    <xf numFmtId="0" fontId="0" fillId="0" borderId="50" xfId="0" applyFont="1" applyBorder="1" applyAlignment="1">
      <alignment wrapText="1"/>
    </xf>
    <xf numFmtId="0" fontId="82" fillId="52" borderId="134" xfId="0" applyFont="1" applyFill="1" applyBorder="1" applyAlignment="1">
      <alignment wrapText="1"/>
    </xf>
    <xf numFmtId="0" fontId="82" fillId="54" borderId="132" xfId="0" applyFont="1" applyFill="1" applyBorder="1" applyAlignment="1">
      <alignment wrapText="1"/>
    </xf>
    <xf numFmtId="0" fontId="82" fillId="54" borderId="0" xfId="0" applyFont="1" applyFill="1" applyBorder="1" applyAlignment="1">
      <alignment wrapText="1"/>
    </xf>
    <xf numFmtId="0" fontId="82" fillId="55" borderId="138" xfId="0" applyFont="1" applyFill="1" applyBorder="1" applyAlignment="1">
      <alignment wrapText="1"/>
    </xf>
    <xf numFmtId="0" fontId="82" fillId="55" borderId="116" xfId="0" applyFont="1" applyFill="1" applyBorder="1" applyAlignment="1">
      <alignment wrapText="1"/>
    </xf>
    <xf numFmtId="0" fontId="82" fillId="53" borderId="135" xfId="0" applyFont="1" applyFill="1" applyBorder="1" applyAlignment="1">
      <alignment wrapText="1"/>
    </xf>
    <xf numFmtId="0" fontId="0" fillId="0" borderId="136" xfId="0" applyFont="1" applyBorder="1" applyAlignment="1">
      <alignment horizontal="left" vertical="center" wrapText="1"/>
    </xf>
    <xf numFmtId="0" fontId="82" fillId="53" borderId="137" xfId="0" applyFont="1" applyFill="1" applyBorder="1" applyAlignment="1">
      <alignment wrapText="1"/>
    </xf>
    <xf numFmtId="164" fontId="132" fillId="0" borderId="129" xfId="0" applyNumberFormat="1" applyFont="1" applyBorder="1"/>
    <xf numFmtId="164" fontId="132" fillId="0" borderId="128" xfId="0" applyNumberFormat="1" applyFont="1" applyBorder="1"/>
    <xf numFmtId="0" fontId="132" fillId="0" borderId="139" xfId="0" applyFont="1" applyBorder="1" applyAlignment="1">
      <alignment horizontal="left"/>
    </xf>
    <xf numFmtId="0" fontId="84" fillId="0" borderId="0" xfId="0" applyFont="1" applyFill="1"/>
    <xf numFmtId="0" fontId="0" fillId="0" borderId="0" xfId="0" applyAlignment="1">
      <alignment horizontal="center" vertical="center" wrapText="1"/>
    </xf>
    <xf numFmtId="169" fontId="79" fillId="0" borderId="0" xfId="1" applyNumberFormat="1" applyFont="1"/>
    <xf numFmtId="0" fontId="32" fillId="0" borderId="0" xfId="0" applyFont="1" applyAlignment="1">
      <alignment horizontal="center" vertical="center" wrapText="1"/>
    </xf>
    <xf numFmtId="0" fontId="78" fillId="0" borderId="82" xfId="0" applyFont="1" applyFill="1" applyBorder="1" applyAlignment="1">
      <alignment horizontal="center" vertical="center" wrapText="1"/>
    </xf>
    <xf numFmtId="0" fontId="78" fillId="0" borderId="117" xfId="0" applyFont="1" applyFill="1" applyBorder="1" applyAlignment="1">
      <alignment horizontal="center" vertical="center" wrapText="1"/>
    </xf>
    <xf numFmtId="1" fontId="78" fillId="0" borderId="117" xfId="0" applyNumberFormat="1" applyFont="1" applyFill="1" applyBorder="1" applyAlignment="1">
      <alignment horizontal="center" vertical="center" wrapText="1"/>
    </xf>
    <xf numFmtId="0" fontId="78" fillId="0" borderId="81" xfId="0" applyFont="1" applyFill="1" applyBorder="1" applyAlignment="1">
      <alignment horizontal="center" vertical="center" wrapText="1"/>
    </xf>
    <xf numFmtId="1" fontId="136" fillId="0" borderId="116" xfId="0" applyNumberFormat="1" applyFont="1" applyFill="1" applyBorder="1"/>
    <xf numFmtId="10" fontId="136" fillId="0" borderId="115" xfId="0" applyNumberFormat="1" applyFont="1" applyFill="1" applyBorder="1"/>
    <xf numFmtId="0" fontId="135" fillId="0" borderId="114" xfId="0" applyFont="1" applyFill="1" applyBorder="1" applyAlignment="1">
      <alignment horizontal="left"/>
    </xf>
    <xf numFmtId="9" fontId="137" fillId="0" borderId="0" xfId="0" applyNumberFormat="1" applyFont="1"/>
    <xf numFmtId="9" fontId="0" fillId="0" borderId="0" xfId="1" applyFont="1"/>
    <xf numFmtId="9" fontId="16" fillId="0" borderId="0" xfId="1" applyFont="1"/>
    <xf numFmtId="9" fontId="79" fillId="0" borderId="0" xfId="1" applyFont="1"/>
    <xf numFmtId="0" fontId="138" fillId="0" borderId="114" xfId="0" applyFont="1" applyFill="1" applyBorder="1" applyAlignment="1">
      <alignment horizontal="left"/>
    </xf>
    <xf numFmtId="164" fontId="136" fillId="0" borderId="116" xfId="0" applyNumberFormat="1" applyFont="1" applyFill="1" applyBorder="1"/>
    <xf numFmtId="1" fontId="139" fillId="0" borderId="116" xfId="0" applyNumberFormat="1" applyFont="1" applyFill="1" applyBorder="1" applyAlignment="1">
      <alignment horizontal="right" vertical="center" wrapText="1"/>
    </xf>
    <xf numFmtId="164" fontId="139" fillId="0" borderId="116" xfId="4" applyNumberFormat="1" applyFont="1" applyFill="1" applyBorder="1" applyAlignment="1">
      <alignment horizontal="right" vertical="center" wrapText="1"/>
    </xf>
    <xf numFmtId="10" fontId="139" fillId="0" borderId="115" xfId="0" applyNumberFormat="1" applyFont="1" applyFill="1" applyBorder="1" applyAlignment="1">
      <alignment horizontal="right" vertical="center" wrapText="1"/>
    </xf>
    <xf numFmtId="1" fontId="139" fillId="0" borderId="116" xfId="0" applyNumberFormat="1" applyFont="1" applyFill="1" applyBorder="1" applyAlignment="1">
      <alignment horizontal="right"/>
    </xf>
    <xf numFmtId="164" fontId="139" fillId="0" borderId="116" xfId="4" applyNumberFormat="1" applyFont="1" applyFill="1" applyBorder="1" applyAlignment="1">
      <alignment horizontal="right"/>
    </xf>
    <xf numFmtId="10" fontId="139" fillId="0" borderId="115" xfId="0" applyNumberFormat="1" applyFont="1" applyFill="1" applyBorder="1" applyAlignment="1">
      <alignment horizontal="right"/>
    </xf>
    <xf numFmtId="1" fontId="139" fillId="0" borderId="115" xfId="0" applyNumberFormat="1" applyFont="1" applyFill="1" applyBorder="1" applyAlignment="1">
      <alignment horizontal="right" vertical="center" wrapText="1"/>
    </xf>
    <xf numFmtId="1" fontId="139" fillId="0" borderId="115" xfId="0" applyNumberFormat="1" applyFont="1" applyFill="1" applyBorder="1" applyAlignment="1">
      <alignment horizontal="right"/>
    </xf>
    <xf numFmtId="1" fontId="136" fillId="0" borderId="115" xfId="0" applyNumberFormat="1" applyFont="1" applyFill="1" applyBorder="1"/>
    <xf numFmtId="164" fontId="140" fillId="0" borderId="0" xfId="4" applyNumberFormat="1" applyFont="1" applyFill="1" applyAlignment="1">
      <alignment horizontal="left" vertical="center" readingOrder="1"/>
    </xf>
    <xf numFmtId="1" fontId="34" fillId="9" borderId="0" xfId="0" applyNumberFormat="1" applyFont="1" applyFill="1" applyBorder="1" applyAlignment="1">
      <alignment horizontal="center" vertical="center" wrapText="1"/>
    </xf>
    <xf numFmtId="1" fontId="105" fillId="9" borderId="0" xfId="0" applyNumberFormat="1" applyFont="1" applyFill="1" applyBorder="1" applyAlignment="1">
      <alignment vertical="top" wrapText="1"/>
    </xf>
    <xf numFmtId="164" fontId="65" fillId="34" borderId="14" xfId="4" applyNumberFormat="1" applyFont="1" applyFill="1" applyBorder="1" applyAlignment="1">
      <alignment horizontal="left" vertical="center" wrapText="1" readingOrder="1"/>
    </xf>
    <xf numFmtId="0" fontId="141" fillId="0" borderId="0" xfId="0" applyFont="1"/>
    <xf numFmtId="0" fontId="142" fillId="0" borderId="0" xfId="0" applyFont="1"/>
    <xf numFmtId="0" fontId="82" fillId="51" borderId="142" xfId="0" applyFont="1" applyFill="1" applyBorder="1" applyAlignment="1">
      <alignment wrapText="1"/>
    </xf>
    <xf numFmtId="0" fontId="34" fillId="8" borderId="80" xfId="0" applyFont="1" applyFill="1" applyBorder="1" applyAlignment="1">
      <alignment horizontal="center" vertical="center" wrapText="1"/>
    </xf>
    <xf numFmtId="0" fontId="26" fillId="56" borderId="4" xfId="22" applyFont="1" applyFill="1" applyBorder="1" applyAlignment="1">
      <alignment vertical="top" wrapText="1"/>
    </xf>
    <xf numFmtId="0" fontId="26" fillId="34" borderId="4" xfId="22" applyFont="1" applyFill="1" applyBorder="1" applyAlignment="1">
      <alignment vertical="top" wrapText="1"/>
    </xf>
    <xf numFmtId="0" fontId="143" fillId="0" borderId="0" xfId="19" applyFont="1" applyAlignment="1">
      <alignment horizontal="left" vertical="center" textRotation="90"/>
    </xf>
    <xf numFmtId="0" fontId="144" fillId="16" borderId="66" xfId="22" applyFont="1" applyFill="1" applyBorder="1" applyAlignment="1">
      <alignment horizontal="center" vertical="center" textRotation="90" wrapText="1"/>
    </xf>
    <xf numFmtId="0" fontId="33" fillId="2" borderId="66" xfId="22" applyFont="1" applyFill="1" applyBorder="1" applyAlignment="1">
      <alignment horizontal="left" vertical="center" indent="1" readingOrder="1"/>
    </xf>
    <xf numFmtId="0" fontId="31" fillId="0" borderId="66" xfId="19" applyFont="1" applyBorder="1" applyAlignment="1">
      <alignment horizontal="left" vertical="center" wrapText="1"/>
    </xf>
    <xf numFmtId="0" fontId="33" fillId="14" borderId="66" xfId="22" applyFont="1" applyFill="1" applyBorder="1" applyAlignment="1">
      <alignment horizontal="left" vertical="center" indent="1" readingOrder="1"/>
    </xf>
    <xf numFmtId="0" fontId="33" fillId="38" borderId="66" xfId="22" applyFont="1" applyFill="1" applyBorder="1" applyAlignment="1">
      <alignment horizontal="left" vertical="center" indent="1" readingOrder="1"/>
    </xf>
    <xf numFmtId="0" fontId="33" fillId="9" borderId="66" xfId="22" applyFont="1" applyFill="1" applyBorder="1" applyAlignment="1">
      <alignment horizontal="left" vertical="center" indent="1" readingOrder="1"/>
    </xf>
    <xf numFmtId="0" fontId="33" fillId="16" borderId="66" xfId="22" applyFont="1" applyFill="1" applyBorder="1" applyAlignment="1">
      <alignment horizontal="left" vertical="center" indent="1" readingOrder="1"/>
    </xf>
    <xf numFmtId="0" fontId="144" fillId="45" borderId="0" xfId="22" applyFont="1" applyFill="1" applyAlignment="1">
      <alignment horizontal="left" vertical="center" textRotation="90" readingOrder="1"/>
    </xf>
    <xf numFmtId="0" fontId="33" fillId="45" borderId="0" xfId="22" applyFont="1" applyFill="1" applyAlignment="1">
      <alignment horizontal="left" vertical="center" indent="1" readingOrder="1"/>
    </xf>
    <xf numFmtId="9" fontId="31" fillId="27" borderId="0" xfId="19" applyNumberFormat="1" applyFont="1" applyFill="1" applyAlignment="1">
      <alignment horizontal="left" vertical="center" wrapText="1" readingOrder="1"/>
    </xf>
    <xf numFmtId="0" fontId="31" fillId="47" borderId="0" xfId="19" applyFont="1" applyFill="1" applyAlignment="1">
      <alignment horizontal="left" vertical="center" wrapText="1"/>
    </xf>
    <xf numFmtId="9" fontId="31" fillId="56" borderId="69" xfId="19" applyNumberFormat="1" applyFont="1" applyFill="1" applyBorder="1" applyAlignment="1">
      <alignment horizontal="center" vertical="center" wrapText="1" readingOrder="1"/>
    </xf>
    <xf numFmtId="0" fontId="31" fillId="17" borderId="0" xfId="19" applyFont="1" applyFill="1" applyAlignment="1">
      <alignment horizontal="left" vertical="center"/>
    </xf>
    <xf numFmtId="0" fontId="145" fillId="0" borderId="0" xfId="22" applyFont="1" applyAlignment="1">
      <alignment horizontal="left" vertical="center" textRotation="90"/>
    </xf>
    <xf numFmtId="9" fontId="31" fillId="27" borderId="0" xfId="19" applyNumberFormat="1" applyFont="1" applyFill="1" applyAlignment="1">
      <alignment horizontal="center" vertical="center" wrapText="1" readingOrder="1"/>
    </xf>
    <xf numFmtId="9" fontId="31" fillId="46" borderId="69" xfId="19" applyNumberFormat="1" applyFont="1" applyFill="1" applyBorder="1" applyAlignment="1">
      <alignment horizontal="center" vertical="center" wrapText="1" readingOrder="1"/>
    </xf>
    <xf numFmtId="9" fontId="31" fillId="46" borderId="0" xfId="19" applyNumberFormat="1" applyFont="1" applyFill="1" applyAlignment="1">
      <alignment horizontal="center" vertical="center" wrapText="1" readingOrder="1"/>
    </xf>
    <xf numFmtId="9" fontId="146" fillId="46" borderId="145" xfId="19" applyNumberFormat="1" applyFont="1" applyFill="1" applyBorder="1" applyAlignment="1">
      <alignment horizontal="center" vertical="center" wrapText="1" readingOrder="1"/>
    </xf>
    <xf numFmtId="9" fontId="146" fillId="46" borderId="144" xfId="19" applyNumberFormat="1" applyFont="1" applyFill="1" applyBorder="1" applyAlignment="1">
      <alignment horizontal="center" vertical="center" wrapText="1" readingOrder="1"/>
    </xf>
    <xf numFmtId="0" fontId="33" fillId="56" borderId="0" xfId="22" applyFont="1" applyFill="1" applyAlignment="1">
      <alignment horizontal="center" vertical="center" readingOrder="1"/>
    </xf>
    <xf numFmtId="0" fontId="112" fillId="45" borderId="0" xfId="22" applyFont="1" applyFill="1" applyAlignment="1">
      <alignment horizontal="center" vertical="center" readingOrder="1"/>
    </xf>
    <xf numFmtId="1" fontId="39" fillId="8" borderId="80" xfId="0" applyNumberFormat="1" applyFont="1" applyFill="1" applyBorder="1" applyAlignment="1">
      <alignment horizontal="center" vertical="center" wrapText="1"/>
    </xf>
    <xf numFmtId="0" fontId="112" fillId="18" borderId="80" xfId="0" applyFont="1" applyFill="1" applyBorder="1" applyAlignment="1">
      <alignment vertical="top" wrapText="1"/>
    </xf>
    <xf numFmtId="9" fontId="31" fillId="34" borderId="0" xfId="19" applyNumberFormat="1" applyFont="1" applyFill="1" applyBorder="1" applyAlignment="1">
      <alignment horizontal="center" vertical="center" wrapText="1" readingOrder="1"/>
    </xf>
    <xf numFmtId="9" fontId="123" fillId="16" borderId="0" xfId="19" applyNumberFormat="1" applyFont="1" applyFill="1" applyBorder="1" applyAlignment="1">
      <alignment horizontal="center" vertical="center" wrapText="1" readingOrder="1"/>
    </xf>
    <xf numFmtId="164" fontId="65" fillId="34" borderId="0" xfId="4" applyNumberFormat="1" applyFont="1" applyFill="1" applyBorder="1" applyAlignment="1">
      <alignment horizontal="center" vertical="center" wrapText="1" readingOrder="1"/>
    </xf>
    <xf numFmtId="164" fontId="66" fillId="17" borderId="29" xfId="4" applyNumberFormat="1" applyFont="1" applyFill="1" applyBorder="1" applyAlignment="1">
      <alignment vertical="center" wrapText="1"/>
    </xf>
    <xf numFmtId="0" fontId="116" fillId="56" borderId="23" xfId="0" applyFont="1" applyFill="1" applyBorder="1" applyAlignment="1">
      <alignment horizontal="center" vertical="center" wrapText="1"/>
    </xf>
    <xf numFmtId="0" fontId="116" fillId="2" borderId="23" xfId="0" applyFont="1" applyFill="1" applyBorder="1" applyAlignment="1">
      <alignment horizontal="center" vertical="center" wrapText="1"/>
    </xf>
    <xf numFmtId="164" fontId="66" fillId="2" borderId="23" xfId="0" applyNumberFormat="1" applyFont="1" applyFill="1" applyBorder="1" applyAlignment="1">
      <alignment vertical="center"/>
    </xf>
    <xf numFmtId="164" fontId="116" fillId="56" borderId="23" xfId="0" applyNumberFormat="1" applyFont="1" applyFill="1" applyBorder="1" applyAlignment="1">
      <alignment vertical="center"/>
    </xf>
    <xf numFmtId="164" fontId="148"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6" fillId="17" borderId="29" xfId="4" applyNumberFormat="1" applyFont="1" applyFill="1" applyBorder="1" applyAlignment="1">
      <alignment horizontal="center" vertical="center"/>
    </xf>
    <xf numFmtId="164" fontId="131" fillId="17" borderId="141" xfId="4" applyNumberFormat="1" applyFont="1" applyFill="1" applyBorder="1" applyAlignment="1">
      <alignment horizontal="center" vertical="center"/>
    </xf>
    <xf numFmtId="0" fontId="133" fillId="0" borderId="121" xfId="0" applyFont="1" applyBorder="1" applyAlignment="1"/>
    <xf numFmtId="164" fontId="80" fillId="0" borderId="42" xfId="4" applyNumberFormat="1" applyFont="1" applyBorder="1"/>
    <xf numFmtId="0" fontId="8" fillId="0" borderId="0" xfId="0" applyFont="1"/>
    <xf numFmtId="164" fontId="0" fillId="0" borderId="0" xfId="0" applyNumberFormat="1"/>
    <xf numFmtId="0" fontId="34" fillId="8" borderId="73" xfId="0" applyFont="1" applyFill="1" applyBorder="1" applyAlignment="1">
      <alignment horizontal="center" vertical="center" wrapText="1"/>
    </xf>
    <xf numFmtId="0" fontId="7" fillId="17" borderId="28" xfId="0" applyFont="1" applyFill="1" applyBorder="1"/>
    <xf numFmtId="0" fontId="0" fillId="0" borderId="0" xfId="0" applyAlignment="1">
      <alignment horizontal="left"/>
    </xf>
    <xf numFmtId="0" fontId="23" fillId="37" borderId="71" xfId="22" applyNumberFormat="1" applyFont="1" applyFill="1" applyBorder="1" applyAlignment="1">
      <alignment horizontal="center" vertical="center"/>
    </xf>
    <xf numFmtId="9" fontId="23" fillId="9" borderId="70" xfId="1" applyFont="1" applyFill="1" applyBorder="1" applyAlignment="1">
      <alignment horizontal="center" vertical="center"/>
    </xf>
    <xf numFmtId="9" fontId="31" fillId="11" borderId="66" xfId="1" applyFont="1" applyFill="1" applyBorder="1" applyAlignment="1">
      <alignment horizontal="center" vertical="center" wrapText="1" readingOrder="1"/>
    </xf>
    <xf numFmtId="9" fontId="23" fillId="9" borderId="67" xfId="1" applyFont="1" applyFill="1" applyBorder="1" applyAlignment="1">
      <alignment horizontal="center" vertical="center" wrapText="1"/>
    </xf>
    <xf numFmtId="9" fontId="65" fillId="11" borderId="14" xfId="1" applyFont="1" applyFill="1" applyBorder="1" applyAlignment="1">
      <alignment horizontal="center" vertical="center" wrapText="1"/>
    </xf>
    <xf numFmtId="0" fontId="149" fillId="0" borderId="0" xfId="0" pivotButton="1" applyFont="1"/>
    <xf numFmtId="0" fontId="149" fillId="0" borderId="0" xfId="0" applyFont="1"/>
    <xf numFmtId="0" fontId="149" fillId="0" borderId="0" xfId="0" applyFont="1" applyAlignment="1">
      <alignment horizontal="left"/>
    </xf>
    <xf numFmtId="0" fontId="149" fillId="0" borderId="0" xfId="0" applyNumberFormat="1" applyFont="1"/>
    <xf numFmtId="0" fontId="98" fillId="16" borderId="73" xfId="0" applyFont="1" applyFill="1" applyBorder="1" applyAlignment="1">
      <alignment vertical="top" wrapText="1"/>
    </xf>
    <xf numFmtId="164" fontId="65" fillId="34" borderId="14" xfId="4" applyNumberFormat="1" applyFont="1" applyFill="1" applyBorder="1" applyAlignment="1">
      <alignment horizontal="left" vertical="center" readingOrder="1"/>
    </xf>
    <xf numFmtId="164" fontId="0" fillId="0" borderId="0" xfId="4" applyNumberFormat="1" applyFont="1"/>
    <xf numFmtId="0" fontId="73" fillId="13" borderId="149" xfId="0" applyFont="1" applyFill="1" applyBorder="1" applyAlignment="1">
      <alignment horizontal="center" vertical="center" wrapText="1"/>
    </xf>
    <xf numFmtId="164" fontId="116" fillId="17" borderId="141" xfId="4" applyNumberFormat="1" applyFont="1" applyFill="1" applyBorder="1" applyAlignment="1">
      <alignment horizontal="center" vertical="center"/>
    </xf>
    <xf numFmtId="164" fontId="116" fillId="12" borderId="141" xfId="4" applyNumberFormat="1" applyFont="1" applyFill="1" applyBorder="1" applyAlignment="1">
      <alignment horizontal="center" vertical="center"/>
    </xf>
    <xf numFmtId="0" fontId="74" fillId="13" borderId="150" xfId="0" applyFont="1" applyFill="1" applyBorder="1" applyAlignment="1">
      <alignment horizontal="center" vertical="center" wrapText="1"/>
    </xf>
    <xf numFmtId="9" fontId="116" fillId="12" borderId="151" xfId="1" applyFont="1" applyFill="1" applyBorder="1" applyAlignment="1">
      <alignment horizontal="center" vertical="center"/>
    </xf>
    <xf numFmtId="0" fontId="131" fillId="45" borderId="153" xfId="0" applyFont="1" applyFill="1" applyBorder="1" applyAlignment="1">
      <alignment horizontal="center" vertical="center" wrapText="1"/>
    </xf>
    <xf numFmtId="0" fontId="131" fillId="45" borderId="154" xfId="0" applyFont="1" applyFill="1" applyBorder="1" applyAlignment="1">
      <alignment horizontal="center" vertical="center" wrapText="1"/>
    </xf>
    <xf numFmtId="0" fontId="84" fillId="26" borderId="154" xfId="0" applyFont="1" applyFill="1" applyBorder="1" applyAlignment="1">
      <alignment horizontal="center" vertical="center" wrapText="1"/>
    </xf>
    <xf numFmtId="164" fontId="84" fillId="26" borderId="34" xfId="4" applyNumberFormat="1" applyFont="1" applyFill="1" applyBorder="1" applyAlignment="1">
      <alignment horizontal="center" vertical="center"/>
    </xf>
    <xf numFmtId="9" fontId="67" fillId="0" borderId="65" xfId="1" applyNumberFormat="1" applyFont="1" applyFill="1" applyBorder="1" applyAlignment="1">
      <alignment horizontal="center" vertical="center"/>
    </xf>
    <xf numFmtId="164" fontId="0" fillId="0" borderId="0" xfId="0" pivotButton="1" applyNumberFormat="1"/>
    <xf numFmtId="0" fontId="150" fillId="0" borderId="0" xfId="0" applyFont="1"/>
    <xf numFmtId="0" fontId="41" fillId="18" borderId="75" xfId="0" applyFont="1" applyFill="1" applyBorder="1" applyAlignment="1">
      <alignment vertical="top" wrapText="1"/>
    </xf>
    <xf numFmtId="164" fontId="74" fillId="0" borderId="4" xfId="4" applyNumberFormat="1" applyFont="1" applyBorder="1"/>
    <xf numFmtId="0" fontId="151" fillId="0" borderId="0" xfId="0" applyFont="1"/>
    <xf numFmtId="164" fontId="66" fillId="57" borderId="29" xfId="4" applyNumberFormat="1" applyFont="1" applyFill="1" applyBorder="1" applyAlignment="1">
      <alignment vertical="center" wrapText="1"/>
    </xf>
    <xf numFmtId="9" fontId="66" fillId="57" borderId="29" xfId="1" applyFont="1" applyFill="1" applyBorder="1" applyAlignment="1">
      <alignment horizontal="center" vertical="center" wrapText="1"/>
    </xf>
    <xf numFmtId="164" fontId="66" fillId="11" borderId="29" xfId="4" applyNumberFormat="1" applyFont="1" applyFill="1" applyBorder="1" applyAlignment="1">
      <alignment vertical="center" wrapText="1"/>
    </xf>
    <xf numFmtId="9" fontId="66" fillId="11" borderId="29" xfId="1" applyFont="1" applyFill="1" applyBorder="1" applyAlignment="1">
      <alignment horizontal="center" vertical="center" wrapText="1"/>
    </xf>
    <xf numFmtId="164" fontId="66" fillId="7" borderId="29" xfId="4" applyNumberFormat="1" applyFont="1" applyFill="1" applyBorder="1" applyAlignment="1">
      <alignment vertical="center" wrapText="1"/>
    </xf>
    <xf numFmtId="9" fontId="66" fillId="7" borderId="29" xfId="1" applyFont="1" applyFill="1" applyBorder="1" applyAlignment="1">
      <alignment horizontal="center" vertical="center" wrapText="1"/>
    </xf>
    <xf numFmtId="164" fontId="66" fillId="10" borderId="29" xfId="4" applyNumberFormat="1" applyFont="1" applyFill="1" applyBorder="1" applyAlignment="1">
      <alignment vertical="center" wrapText="1"/>
    </xf>
    <xf numFmtId="0" fontId="72" fillId="14" borderId="23" xfId="0" applyFont="1" applyFill="1" applyBorder="1" applyAlignment="1">
      <alignment horizontal="center" vertical="center"/>
    </xf>
    <xf numFmtId="0" fontId="72" fillId="8" borderId="23" xfId="0" applyFont="1" applyFill="1" applyBorder="1" applyAlignment="1">
      <alignment horizontal="center" vertical="center"/>
    </xf>
    <xf numFmtId="0" fontId="72" fillId="9" borderId="23" xfId="0" applyFont="1" applyFill="1" applyBorder="1" applyAlignment="1">
      <alignment horizontal="center" vertical="center"/>
    </xf>
    <xf numFmtId="0" fontId="152" fillId="56" borderId="23" xfId="0" applyFont="1" applyFill="1" applyBorder="1" applyAlignment="1">
      <alignment horizontal="center" vertical="center"/>
    </xf>
    <xf numFmtId="0" fontId="152" fillId="16" borderId="23" xfId="0" applyFont="1" applyFill="1" applyBorder="1" applyAlignment="1">
      <alignment horizontal="center" vertical="center"/>
    </xf>
    <xf numFmtId="0" fontId="116" fillId="12" borderId="23" xfId="0" applyFont="1" applyFill="1" applyBorder="1" applyAlignment="1">
      <alignment horizontal="center" vertical="center" wrapText="1"/>
    </xf>
    <xf numFmtId="0" fontId="152" fillId="0" borderId="23" xfId="0" applyFont="1" applyBorder="1" applyAlignment="1">
      <alignment wrapText="1"/>
    </xf>
    <xf numFmtId="0" fontId="136" fillId="58" borderId="82" xfId="0" applyFont="1" applyFill="1" applyBorder="1"/>
    <xf numFmtId="0" fontId="136" fillId="58" borderId="114" xfId="0" applyFont="1" applyFill="1" applyBorder="1" applyAlignment="1">
      <alignment horizontal="left"/>
    </xf>
    <xf numFmtId="9" fontId="16" fillId="34" borderId="0" xfId="0" applyNumberFormat="1" applyFont="1" applyFill="1"/>
    <xf numFmtId="9" fontId="153" fillId="0" borderId="0" xfId="0" applyNumberFormat="1" applyFont="1"/>
    <xf numFmtId="0" fontId="153" fillId="0" borderId="0" xfId="0" applyFont="1"/>
    <xf numFmtId="0" fontId="6" fillId="0" borderId="0" xfId="0" applyFont="1"/>
    <xf numFmtId="9" fontId="154" fillId="50" borderId="116" xfId="0" applyNumberFormat="1" applyFont="1" applyFill="1" applyBorder="1"/>
    <xf numFmtId="9" fontId="154" fillId="50" borderId="115" xfId="0" applyNumberFormat="1" applyFont="1" applyFill="1" applyBorder="1"/>
    <xf numFmtId="9" fontId="154" fillId="58" borderId="116" xfId="0" applyNumberFormat="1" applyFont="1" applyFill="1" applyBorder="1"/>
    <xf numFmtId="9" fontId="154" fillId="58" borderId="115" xfId="0" applyNumberFormat="1" applyFont="1" applyFill="1" applyBorder="1"/>
    <xf numFmtId="9" fontId="66" fillId="0" borderId="63" xfId="0" applyNumberFormat="1" applyFont="1" applyFill="1" applyBorder="1" applyAlignment="1">
      <alignment horizontal="center" vertical="center"/>
    </xf>
    <xf numFmtId="0" fontId="5" fillId="0" borderId="0" xfId="0" applyFont="1"/>
    <xf numFmtId="0" fontId="4" fillId="17" borderId="28" xfId="0" applyFont="1" applyFill="1" applyBorder="1"/>
    <xf numFmtId="0" fontId="66" fillId="0" borderId="0" xfId="0" applyFont="1" applyFill="1" applyBorder="1" applyAlignment="1">
      <alignment horizontal="center" vertical="center"/>
    </xf>
    <xf numFmtId="0" fontId="72" fillId="14" borderId="102" xfId="0" applyFont="1" applyFill="1" applyBorder="1" applyAlignment="1">
      <alignment horizontal="center" vertical="center" wrapText="1"/>
    </xf>
    <xf numFmtId="0" fontId="116" fillId="12" borderId="102" xfId="0" applyFont="1" applyFill="1" applyBorder="1" applyAlignment="1">
      <alignment horizontal="center" vertical="top" wrapText="1"/>
    </xf>
    <xf numFmtId="0" fontId="72" fillId="36" borderId="102" xfId="0" applyFont="1" applyFill="1" applyBorder="1" applyAlignment="1">
      <alignment horizontal="center" vertical="top" wrapText="1"/>
    </xf>
    <xf numFmtId="0" fontId="72" fillId="8" borderId="102" xfId="0" applyFont="1" applyFill="1" applyBorder="1" applyAlignment="1">
      <alignment horizontal="center" vertical="top" wrapText="1"/>
    </xf>
    <xf numFmtId="0" fontId="26" fillId="16" borderId="4" xfId="22" applyFont="1" applyFill="1" applyBorder="1" applyAlignment="1">
      <alignment horizontal="center" vertical="center" wrapText="1"/>
    </xf>
    <xf numFmtId="0" fontId="26" fillId="56" borderId="147" xfId="22" applyFont="1" applyFill="1" applyBorder="1" applyAlignment="1">
      <alignment horizontal="center" vertical="top" wrapText="1"/>
    </xf>
    <xf numFmtId="164" fontId="66" fillId="0" borderId="0" xfId="0" applyNumberFormat="1" applyFont="1" applyAlignment="1">
      <alignment horizontal="center" vertical="center"/>
    </xf>
    <xf numFmtId="9" fontId="98" fillId="26" borderId="148" xfId="19" applyNumberFormat="1" applyFont="1" applyFill="1" applyBorder="1" applyAlignment="1">
      <alignment horizontal="center" vertical="center" wrapText="1" readingOrder="1"/>
    </xf>
    <xf numFmtId="9" fontId="65" fillId="46" borderId="145" xfId="19" applyNumberFormat="1" applyFont="1" applyFill="1" applyBorder="1" applyAlignment="1">
      <alignment horizontal="center" vertical="center" wrapText="1" readingOrder="1"/>
    </xf>
    <xf numFmtId="9" fontId="65" fillId="46" borderId="144" xfId="19" applyNumberFormat="1" applyFont="1" applyFill="1" applyBorder="1" applyAlignment="1">
      <alignment horizontal="center" vertical="center" wrapText="1" readingOrder="1"/>
    </xf>
    <xf numFmtId="0" fontId="81" fillId="0" borderId="157" xfId="0" applyFont="1" applyBorder="1"/>
    <xf numFmtId="0" fontId="81" fillId="0" borderId="158" xfId="0" applyFont="1" applyBorder="1" applyAlignment="1">
      <alignment horizontal="left"/>
    </xf>
    <xf numFmtId="0" fontId="81" fillId="0" borderId="156" xfId="0" applyFont="1" applyBorder="1" applyAlignment="1">
      <alignment horizontal="left"/>
    </xf>
    <xf numFmtId="164" fontId="81" fillId="0" borderId="158" xfId="0" applyNumberFormat="1" applyFont="1" applyBorder="1"/>
    <xf numFmtId="9" fontId="135" fillId="58" borderId="115" xfId="0" applyNumberFormat="1" applyFont="1" applyFill="1" applyBorder="1"/>
    <xf numFmtId="0" fontId="140" fillId="0" borderId="0" xfId="1" applyNumberFormat="1" applyFont="1" applyFill="1" applyBorder="1" applyAlignment="1">
      <alignment horizontal="left" vertical="center" readingOrder="1"/>
    </xf>
    <xf numFmtId="164" fontId="66" fillId="57" borderId="141" xfId="4" applyNumberFormat="1" applyFont="1" applyFill="1" applyBorder="1" applyAlignment="1">
      <alignment vertical="center" wrapText="1"/>
    </xf>
    <xf numFmtId="9" fontId="66" fillId="7" borderId="159" xfId="1" applyFont="1" applyFill="1" applyBorder="1" applyAlignment="1">
      <alignment horizontal="center" vertical="center" wrapText="1"/>
    </xf>
    <xf numFmtId="9" fontId="66" fillId="11" borderId="159" xfId="1" applyFont="1" applyFill="1" applyBorder="1" applyAlignment="1">
      <alignment horizontal="center" vertical="center" wrapText="1"/>
    </xf>
    <xf numFmtId="0" fontId="3" fillId="0" borderId="58" xfId="0" applyFont="1" applyBorder="1" applyAlignment="1">
      <alignment vertical="center" wrapText="1"/>
    </xf>
    <xf numFmtId="9" fontId="116" fillId="17" borderId="152" xfId="1" applyFont="1" applyFill="1" applyBorder="1" applyAlignment="1">
      <alignment horizontal="center" vertical="center"/>
    </xf>
    <xf numFmtId="9" fontId="116" fillId="17" borderId="141" xfId="1" applyFont="1" applyFill="1" applyBorder="1" applyAlignment="1">
      <alignment horizontal="center" vertical="center"/>
    </xf>
    <xf numFmtId="9" fontId="66" fillId="57" borderId="159" xfId="1" applyFont="1" applyFill="1" applyBorder="1" applyAlignment="1">
      <alignment vertical="center" wrapText="1"/>
    </xf>
    <xf numFmtId="0" fontId="155" fillId="0" borderId="0" xfId="0" applyFont="1"/>
    <xf numFmtId="164" fontId="156" fillId="0" borderId="158" xfId="0" applyNumberFormat="1" applyFont="1" applyBorder="1"/>
    <xf numFmtId="164" fontId="156" fillId="0" borderId="156" xfId="0" applyNumberFormat="1" applyFont="1" applyBorder="1"/>
    <xf numFmtId="0" fontId="33" fillId="56" borderId="0" xfId="22" applyFont="1" applyFill="1" applyAlignment="1">
      <alignment horizontal="center" vertical="center" readingOrder="1"/>
    </xf>
    <xf numFmtId="1" fontId="40" fillId="9" borderId="73" xfId="1" applyNumberFormat="1" applyFont="1" applyFill="1" applyBorder="1" applyAlignment="1">
      <alignment horizontal="left" vertical="top"/>
    </xf>
    <xf numFmtId="1" fontId="60" fillId="7" borderId="66" xfId="19" applyNumberFormat="1" applyFont="1" applyFill="1" applyBorder="1" applyAlignment="1">
      <alignment horizontal="left" vertical="center" wrapText="1" readingOrder="1"/>
    </xf>
    <xf numFmtId="0" fontId="60" fillId="28" borderId="66" xfId="19" applyFont="1" applyFill="1" applyBorder="1" applyAlignment="1">
      <alignment horizontal="left" vertical="center" wrapText="1"/>
    </xf>
    <xf numFmtId="0" fontId="60" fillId="11" borderId="66" xfId="20" applyNumberFormat="1" applyFont="1" applyFill="1" applyBorder="1" applyAlignment="1">
      <alignment horizontal="left" vertical="center" wrapText="1" readingOrder="1"/>
    </xf>
    <xf numFmtId="9" fontId="80" fillId="0" borderId="42" xfId="1" applyFont="1" applyBorder="1"/>
    <xf numFmtId="9" fontId="155" fillId="0" borderId="0" xfId="0" applyNumberFormat="1" applyFont="1"/>
    <xf numFmtId="9" fontId="66" fillId="0" borderId="0" xfId="1" applyFont="1"/>
    <xf numFmtId="0" fontId="16" fillId="0" borderId="0" xfId="0" pivotButton="1" applyFont="1" applyAlignment="1">
      <alignment wrapText="1"/>
    </xf>
    <xf numFmtId="167" fontId="157" fillId="0" borderId="0" xfId="0" applyNumberFormat="1" applyFont="1" applyFill="1" applyAlignment="1">
      <alignment horizontal="left" vertical="center" readingOrder="1"/>
    </xf>
    <xf numFmtId="0" fontId="157" fillId="0" borderId="0" xfId="0" applyFont="1" applyFill="1" applyAlignment="1">
      <alignment horizontal="left" vertical="center" readingOrder="1"/>
    </xf>
    <xf numFmtId="0" fontId="157" fillId="0" borderId="0" xfId="1" applyNumberFormat="1" applyFont="1" applyFill="1" applyAlignment="1">
      <alignment horizontal="left" vertical="center" readingOrder="1"/>
    </xf>
    <xf numFmtId="164" fontId="157" fillId="0" borderId="0" xfId="4" applyNumberFormat="1" applyFont="1" applyFill="1" applyAlignment="1">
      <alignment horizontal="left" vertical="center" readingOrder="1"/>
    </xf>
    <xf numFmtId="168" fontId="157" fillId="0" borderId="0" xfId="0" applyNumberFormat="1" applyFont="1" applyFill="1" applyAlignment="1">
      <alignment horizontal="left" vertical="center" readingOrder="1"/>
    </xf>
    <xf numFmtId="165" fontId="157" fillId="0" borderId="0" xfId="0" applyNumberFormat="1" applyFont="1" applyFill="1" applyAlignment="1">
      <alignment horizontal="left" vertical="center" readingOrder="1"/>
    </xf>
    <xf numFmtId="9" fontId="157" fillId="0" borderId="0" xfId="1" applyFont="1" applyFill="1" applyAlignment="1">
      <alignment horizontal="left" vertical="center" readingOrder="1"/>
    </xf>
    <xf numFmtId="49" fontId="157" fillId="0" borderId="0" xfId="4" applyNumberFormat="1" applyFont="1" applyFill="1" applyAlignment="1">
      <alignment horizontal="left" vertical="center" readingOrder="1"/>
    </xf>
    <xf numFmtId="49" fontId="157" fillId="0" borderId="0" xfId="1" applyNumberFormat="1" applyFont="1" applyFill="1" applyAlignment="1">
      <alignment horizontal="left" vertical="center" readingOrder="1"/>
    </xf>
    <xf numFmtId="49" fontId="157" fillId="0" borderId="0" xfId="0" applyNumberFormat="1" applyFont="1" applyFill="1" applyAlignment="1">
      <alignment horizontal="left" vertical="center" readingOrder="1"/>
    </xf>
    <xf numFmtId="9" fontId="157" fillId="0" borderId="0" xfId="1" applyNumberFormat="1" applyFont="1" applyFill="1" applyAlignment="1">
      <alignment horizontal="left" vertical="center" readingOrder="1"/>
    </xf>
    <xf numFmtId="1" fontId="157" fillId="0" borderId="0" xfId="1" applyNumberFormat="1" applyFont="1" applyFill="1" applyAlignment="1">
      <alignment horizontal="left" vertical="center" readingOrder="1"/>
    </xf>
    <xf numFmtId="164" fontId="157" fillId="0" borderId="0" xfId="0" applyNumberFormat="1" applyFont="1" applyFill="1" applyAlignment="1">
      <alignment horizontal="left" vertical="center" readingOrder="1"/>
    </xf>
    <xf numFmtId="1" fontId="157" fillId="0" borderId="0" xfId="0" applyNumberFormat="1" applyFont="1" applyFill="1" applyAlignment="1">
      <alignment horizontal="left" vertical="center" readingOrder="1"/>
    </xf>
    <xf numFmtId="9" fontId="157" fillId="0" borderId="0" xfId="0" applyNumberFormat="1" applyFont="1" applyFill="1" applyAlignment="1">
      <alignment horizontal="left" vertical="center" readingOrder="1"/>
    </xf>
    <xf numFmtId="0" fontId="157" fillId="0" borderId="0" xfId="0" applyNumberFormat="1" applyFont="1" applyFill="1" applyAlignment="1">
      <alignment horizontal="left" vertical="center" readingOrder="1"/>
    </xf>
    <xf numFmtId="49" fontId="157" fillId="0" borderId="0" xfId="0" applyNumberFormat="1" applyFont="1" applyAlignment="1">
      <alignment horizontal="left" vertical="center" readingOrder="1"/>
    </xf>
    <xf numFmtId="0" fontId="131" fillId="59" borderId="154" xfId="0" applyFont="1" applyFill="1" applyBorder="1" applyAlignment="1">
      <alignment horizontal="center" vertical="center" wrapText="1"/>
    </xf>
    <xf numFmtId="164" fontId="131" fillId="10" borderId="29" xfId="4" applyNumberFormat="1" applyFont="1" applyFill="1" applyBorder="1" applyAlignment="1">
      <alignment vertical="center" wrapText="1"/>
    </xf>
    <xf numFmtId="164" fontId="131" fillId="7" borderId="29" xfId="4" applyNumberFormat="1" applyFont="1" applyFill="1" applyBorder="1" applyAlignment="1">
      <alignment vertical="center" wrapText="1"/>
    </xf>
    <xf numFmtId="164" fontId="131" fillId="11" borderId="29" xfId="4" applyNumberFormat="1" applyFont="1" applyFill="1" applyBorder="1" applyAlignment="1">
      <alignment vertical="center" wrapText="1"/>
    </xf>
    <xf numFmtId="164" fontId="131" fillId="12" borderId="163" xfId="4" applyNumberFormat="1" applyFont="1" applyFill="1" applyBorder="1" applyAlignment="1">
      <alignment vertical="center"/>
    </xf>
    <xf numFmtId="0" fontId="33" fillId="56" borderId="0" xfId="22" applyFont="1" applyFill="1" applyAlignment="1">
      <alignment horizontal="center" vertical="center" readingOrder="1"/>
    </xf>
    <xf numFmtId="0" fontId="31" fillId="38" borderId="164" xfId="0" applyFont="1" applyFill="1" applyBorder="1" applyAlignment="1">
      <alignment horizontal="center" vertical="center" wrapText="1"/>
    </xf>
    <xf numFmtId="168" fontId="24" fillId="0" borderId="0" xfId="4" applyNumberFormat="1" applyFont="1" applyFill="1" applyAlignment="1">
      <alignment horizontal="left" vertical="center" readingOrder="1"/>
    </xf>
    <xf numFmtId="0" fontId="33" fillId="60" borderId="164" xfId="0" applyFont="1" applyFill="1" applyBorder="1" applyAlignment="1">
      <alignment vertical="top" wrapText="1"/>
    </xf>
    <xf numFmtId="0" fontId="33" fillId="38" borderId="0" xfId="0" applyFont="1" applyFill="1" applyAlignment="1">
      <alignment horizontal="center" vertical="center" wrapText="1"/>
    </xf>
    <xf numFmtId="43" fontId="24" fillId="0" borderId="0" xfId="4" applyFont="1" applyFill="1" applyAlignment="1">
      <alignment horizontal="left" vertical="center" readingOrder="1"/>
    </xf>
    <xf numFmtId="0" fontId="146" fillId="60" borderId="164" xfId="0" applyFont="1" applyFill="1" applyBorder="1" applyAlignment="1">
      <alignment vertical="top" wrapText="1"/>
    </xf>
    <xf numFmtId="0" fontId="31" fillId="38" borderId="0" xfId="0" applyFont="1" applyFill="1" applyAlignment="1">
      <alignment horizontal="center" vertical="center" wrapText="1"/>
    </xf>
    <xf numFmtId="0" fontId="31" fillId="60" borderId="164" xfId="0" applyFont="1" applyFill="1" applyBorder="1" applyAlignment="1">
      <alignment vertical="top" wrapText="1"/>
    </xf>
    <xf numFmtId="164" fontId="131" fillId="17" borderId="168" xfId="4" applyNumberFormat="1" applyFont="1" applyFill="1" applyBorder="1" applyAlignment="1">
      <alignment horizontal="center" vertical="center"/>
    </xf>
    <xf numFmtId="167" fontId="158" fillId="0" borderId="0" xfId="0" applyNumberFormat="1" applyFont="1" applyFill="1" applyAlignment="1">
      <alignment horizontal="left" vertical="center" readingOrder="1"/>
    </xf>
    <xf numFmtId="0" fontId="158" fillId="0" borderId="0" xfId="0" applyFont="1" applyFill="1" applyAlignment="1">
      <alignment horizontal="left" vertical="center" readingOrder="1"/>
    </xf>
    <xf numFmtId="0" fontId="158" fillId="0" borderId="0" xfId="1" applyNumberFormat="1" applyFont="1" applyFill="1" applyAlignment="1">
      <alignment horizontal="left" vertical="center" readingOrder="1"/>
    </xf>
    <xf numFmtId="164" fontId="158" fillId="0" borderId="0" xfId="4" applyNumberFormat="1" applyFont="1" applyFill="1" applyAlignment="1">
      <alignment horizontal="left" vertical="center" readingOrder="1"/>
    </xf>
    <xf numFmtId="168" fontId="158" fillId="0" borderId="0" xfId="0" applyNumberFormat="1" applyFont="1" applyFill="1" applyAlignment="1">
      <alignment horizontal="left" vertical="center" readingOrder="1"/>
    </xf>
    <xf numFmtId="165" fontId="158" fillId="0" borderId="0" xfId="0" applyNumberFormat="1" applyFont="1" applyFill="1" applyAlignment="1">
      <alignment horizontal="left" vertical="center" readingOrder="1"/>
    </xf>
    <xf numFmtId="9" fontId="158" fillId="0" borderId="0" xfId="1" applyFont="1" applyFill="1" applyAlignment="1">
      <alignment horizontal="left" vertical="center" readingOrder="1"/>
    </xf>
    <xf numFmtId="49" fontId="158" fillId="0" borderId="0" xfId="4" applyNumberFormat="1" applyFont="1" applyFill="1" applyAlignment="1">
      <alignment horizontal="left" vertical="center" readingOrder="1"/>
    </xf>
    <xf numFmtId="49" fontId="158" fillId="0" borderId="0" xfId="1" applyNumberFormat="1" applyFont="1" applyFill="1" applyAlignment="1">
      <alignment horizontal="left" vertical="center" readingOrder="1"/>
    </xf>
    <xf numFmtId="49" fontId="158" fillId="0" borderId="0" xfId="0" applyNumberFormat="1" applyFont="1" applyFill="1" applyAlignment="1">
      <alignment horizontal="left" vertical="center" readingOrder="1"/>
    </xf>
    <xf numFmtId="9" fontId="158" fillId="0" borderId="0" xfId="1" applyNumberFormat="1" applyFont="1" applyFill="1" applyAlignment="1">
      <alignment horizontal="left" vertical="center" readingOrder="1"/>
    </xf>
    <xf numFmtId="1" fontId="158" fillId="0" borderId="0" xfId="1" applyNumberFormat="1" applyFont="1" applyFill="1" applyAlignment="1">
      <alignment horizontal="left" vertical="center" readingOrder="1"/>
    </xf>
    <xf numFmtId="164" fontId="158" fillId="0" borderId="0" xfId="0" applyNumberFormat="1" applyFont="1" applyFill="1" applyAlignment="1">
      <alignment horizontal="left" vertical="center" readingOrder="1"/>
    </xf>
    <xf numFmtId="1" fontId="158" fillId="0" borderId="0" xfId="0" applyNumberFormat="1" applyFont="1" applyFill="1" applyAlignment="1">
      <alignment horizontal="left" vertical="center" readingOrder="1"/>
    </xf>
    <xf numFmtId="9" fontId="158" fillId="0" borderId="0" xfId="0" applyNumberFormat="1" applyFont="1" applyFill="1" applyAlignment="1">
      <alignment horizontal="left" vertical="center" readingOrder="1"/>
    </xf>
    <xf numFmtId="0" fontId="158" fillId="0" borderId="0" xfId="0" applyNumberFormat="1" applyFont="1" applyFill="1" applyAlignment="1">
      <alignment horizontal="left" vertical="center" readingOrder="1"/>
    </xf>
    <xf numFmtId="0" fontId="66" fillId="0" borderId="0" xfId="0" applyFont="1" applyAlignment="1">
      <alignment horizontal="left"/>
    </xf>
    <xf numFmtId="0" fontId="66" fillId="0" borderId="0" xfId="0" applyNumberFormat="1" applyFont="1"/>
    <xf numFmtId="0" fontId="66" fillId="0" borderId="0" xfId="0" applyFont="1" applyAlignment="1">
      <alignment horizontal="left" indent="1"/>
    </xf>
    <xf numFmtId="164" fontId="72" fillId="14" borderId="0" xfId="0" applyNumberFormat="1" applyFont="1" applyFill="1"/>
    <xf numFmtId="164" fontId="72" fillId="8" borderId="0" xfId="0" applyNumberFormat="1" applyFont="1" applyFill="1"/>
    <xf numFmtId="164" fontId="72" fillId="9" borderId="0" xfId="0" applyNumberFormat="1" applyFont="1" applyFill="1"/>
    <xf numFmtId="164" fontId="72" fillId="26" borderId="0" xfId="0" applyNumberFormat="1" applyFont="1" applyFill="1"/>
    <xf numFmtId="0" fontId="72" fillId="26" borderId="0" xfId="0" applyFont="1" applyFill="1" applyAlignment="1">
      <alignment horizontal="center" vertical="center" wrapText="1"/>
    </xf>
    <xf numFmtId="0" fontId="72" fillId="14" borderId="0" xfId="0" applyFont="1" applyFill="1" applyAlignment="1">
      <alignment horizontal="center" vertical="center"/>
    </xf>
    <xf numFmtId="0" fontId="72" fillId="8" borderId="0" xfId="0" applyFont="1" applyFill="1" applyAlignment="1">
      <alignment horizontal="center" vertical="center"/>
    </xf>
    <xf numFmtId="0" fontId="72" fillId="9" borderId="0" xfId="0" applyFont="1" applyFill="1" applyAlignment="1">
      <alignment horizontal="center" vertical="center"/>
    </xf>
    <xf numFmtId="0" fontId="72" fillId="9" borderId="0" xfId="0" applyFont="1" applyFill="1" applyAlignment="1">
      <alignment horizontal="center" vertical="center" wrapText="1"/>
    </xf>
    <xf numFmtId="164" fontId="116" fillId="12" borderId="0" xfId="0" applyNumberFormat="1" applyFont="1" applyFill="1"/>
    <xf numFmtId="0" fontId="116" fillId="12" borderId="0" xfId="0" applyFont="1" applyFill="1" applyAlignment="1">
      <alignment horizontal="center" vertical="center" wrapText="1"/>
    </xf>
    <xf numFmtId="164" fontId="66" fillId="56" borderId="0" xfId="0" applyNumberFormat="1" applyFont="1" applyFill="1"/>
    <xf numFmtId="0" fontId="66" fillId="56" borderId="0" xfId="0" applyFont="1" applyFill="1" applyAlignment="1">
      <alignment horizontal="center" vertical="center"/>
    </xf>
    <xf numFmtId="164" fontId="66" fillId="16" borderId="0" xfId="0" applyNumberFormat="1" applyFont="1" applyFill="1"/>
    <xf numFmtId="0" fontId="66" fillId="16" borderId="0" xfId="0" applyFont="1" applyFill="1" applyAlignment="1">
      <alignment horizontal="center" vertical="center"/>
    </xf>
    <xf numFmtId="0" fontId="72" fillId="14" borderId="0" xfId="0" applyFont="1" applyFill="1" applyAlignment="1">
      <alignment horizontal="center" vertical="center" wrapText="1"/>
    </xf>
    <xf numFmtId="0" fontId="72" fillId="8" borderId="0" xfId="0" applyFont="1" applyFill="1" applyAlignment="1">
      <alignment horizontal="center" vertical="center" wrapText="1"/>
    </xf>
    <xf numFmtId="0" fontId="66" fillId="56" borderId="0" xfId="0" applyFont="1" applyFill="1" applyAlignment="1">
      <alignment horizontal="center" vertical="center" wrapText="1"/>
    </xf>
    <xf numFmtId="0" fontId="66" fillId="16" borderId="0" xfId="0" applyFont="1" applyFill="1" applyAlignment="1">
      <alignment horizontal="center" vertical="center" wrapText="1"/>
    </xf>
    <xf numFmtId="0" fontId="78" fillId="29" borderId="0" xfId="0" applyFont="1" applyFill="1" applyAlignment="1">
      <alignment horizontal="left" vertical="center" wrapText="1"/>
    </xf>
    <xf numFmtId="0" fontId="78" fillId="29" borderId="0" xfId="0" applyFont="1" applyFill="1"/>
    <xf numFmtId="0" fontId="78" fillId="40" borderId="0" xfId="0" applyFont="1" applyFill="1" applyAlignment="1"/>
    <xf numFmtId="0" fontId="78" fillId="40" borderId="0" xfId="0" applyFont="1" applyFill="1"/>
    <xf numFmtId="0" fontId="66" fillId="0" borderId="0" xfId="0" pivotButton="1" applyFont="1" applyAlignment="1">
      <alignment horizontal="center" vertical="center" wrapText="1"/>
    </xf>
    <xf numFmtId="0" fontId="131" fillId="45" borderId="103" xfId="0" applyFont="1" applyFill="1" applyBorder="1" applyAlignment="1">
      <alignment vertical="center" wrapText="1"/>
    </xf>
    <xf numFmtId="0" fontId="131" fillId="45" borderId="0" xfId="0" applyFont="1" applyFill="1" applyBorder="1" applyAlignment="1">
      <alignment vertical="center" wrapText="1"/>
    </xf>
    <xf numFmtId="164" fontId="131" fillId="12" borderId="169" xfId="4" applyNumberFormat="1" applyFont="1" applyFill="1" applyBorder="1" applyAlignment="1">
      <alignment vertical="center"/>
    </xf>
    <xf numFmtId="164" fontId="67" fillId="7" borderId="160" xfId="4" applyNumberFormat="1" applyFont="1" applyFill="1" applyBorder="1" applyAlignment="1">
      <alignment vertical="center" wrapText="1"/>
    </xf>
    <xf numFmtId="164" fontId="131" fillId="12" borderId="29" xfId="4" applyNumberFormat="1" applyFont="1" applyFill="1" applyBorder="1" applyAlignment="1">
      <alignment vertical="center"/>
    </xf>
    <xf numFmtId="164" fontId="131" fillId="12" borderId="141" xfId="4" applyNumberFormat="1" applyFont="1" applyFill="1" applyBorder="1" applyAlignment="1">
      <alignment vertical="center"/>
    </xf>
    <xf numFmtId="164" fontId="84" fillId="26" borderId="162" xfId="4" applyNumberFormat="1" applyFont="1" applyFill="1" applyBorder="1" applyAlignment="1">
      <alignment horizontal="center" vertical="center"/>
    </xf>
    <xf numFmtId="164" fontId="74" fillId="7" borderId="29" xfId="4" applyNumberFormat="1" applyFont="1" applyFill="1" applyBorder="1" applyAlignment="1">
      <alignment vertical="center" wrapText="1"/>
    </xf>
    <xf numFmtId="164" fontId="67" fillId="11" borderId="160" xfId="4" applyNumberFormat="1" applyFont="1" applyFill="1" applyBorder="1" applyAlignment="1">
      <alignment vertical="center" wrapText="1"/>
    </xf>
    <xf numFmtId="164" fontId="74" fillId="11" borderId="29" xfId="4" applyNumberFormat="1" applyFont="1" applyFill="1" applyBorder="1" applyAlignment="1">
      <alignment vertical="center" wrapText="1"/>
    </xf>
    <xf numFmtId="164" fontId="67" fillId="57" borderId="160" xfId="4" applyNumberFormat="1" applyFont="1" applyFill="1" applyBorder="1" applyAlignment="1">
      <alignment vertical="center" wrapText="1"/>
    </xf>
    <xf numFmtId="164" fontId="67" fillId="57" borderId="29" xfId="4" applyNumberFormat="1" applyFont="1" applyFill="1" applyBorder="1" applyAlignment="1">
      <alignment vertical="center" wrapText="1"/>
    </xf>
    <xf numFmtId="164" fontId="131" fillId="17" borderId="155" xfId="4" applyNumberFormat="1" applyFont="1" applyFill="1" applyBorder="1" applyAlignment="1">
      <alignment horizontal="center" vertical="center"/>
    </xf>
    <xf numFmtId="164" fontId="131" fillId="17" borderId="167" xfId="4" applyNumberFormat="1" applyFont="1" applyFill="1" applyBorder="1" applyAlignment="1">
      <alignment horizontal="center" vertical="center"/>
    </xf>
    <xf numFmtId="164" fontId="131" fillId="12" borderId="170" xfId="4" applyNumberFormat="1" applyFont="1" applyFill="1" applyBorder="1" applyAlignment="1">
      <alignment horizontal="center" vertical="center"/>
    </xf>
    <xf numFmtId="164" fontId="74" fillId="12" borderId="34" xfId="4" applyNumberFormat="1" applyFont="1" applyFill="1" applyBorder="1" applyAlignment="1">
      <alignment vertical="center"/>
    </xf>
    <xf numFmtId="164" fontId="131" fillId="12" borderId="161" xfId="4" applyNumberFormat="1" applyFont="1" applyFill="1" applyBorder="1" applyAlignment="1">
      <alignment horizontal="center" vertical="center"/>
    </xf>
    <xf numFmtId="164" fontId="74" fillId="12" borderId="162" xfId="4" applyNumberFormat="1" applyFont="1" applyFill="1" applyBorder="1" applyAlignment="1">
      <alignment vertical="center"/>
    </xf>
    <xf numFmtId="164" fontId="66" fillId="10" borderId="141" xfId="4" applyNumberFormat="1" applyFont="1" applyFill="1" applyBorder="1" applyAlignment="1">
      <alignment vertical="center" wrapText="1"/>
    </xf>
    <xf numFmtId="164" fontId="131" fillId="10" borderId="160" xfId="4" applyNumberFormat="1" applyFont="1" applyFill="1" applyBorder="1" applyAlignment="1">
      <alignment vertical="center" wrapText="1"/>
    </xf>
    <xf numFmtId="0" fontId="159" fillId="0" borderId="0" xfId="0" applyFont="1"/>
    <xf numFmtId="0" fontId="89" fillId="0" borderId="171" xfId="0" applyFont="1" applyBorder="1"/>
    <xf numFmtId="0" fontId="2" fillId="0" borderId="0" xfId="0" pivotButton="1" applyFont="1"/>
    <xf numFmtId="0" fontId="2" fillId="0" borderId="0" xfId="0" applyFont="1"/>
    <xf numFmtId="0" fontId="2" fillId="0" borderId="0" xfId="0" pivotButton="1" applyFont="1" applyAlignment="1">
      <alignment wrapText="1"/>
    </xf>
    <xf numFmtId="0" fontId="2" fillId="0" borderId="0" xfId="0" applyFont="1" applyAlignment="1">
      <alignment horizontal="left"/>
    </xf>
    <xf numFmtId="0" fontId="2" fillId="0" borderId="0" xfId="0" applyNumberFormat="1" applyFont="1"/>
    <xf numFmtId="9" fontId="2" fillId="0" borderId="0" xfId="0" applyNumberFormat="1" applyFont="1"/>
    <xf numFmtId="0" fontId="2" fillId="0" borderId="0" xfId="0" applyFont="1" applyAlignment="1">
      <alignment wrapText="1"/>
    </xf>
    <xf numFmtId="9" fontId="0" fillId="0" borderId="0" xfId="0" applyNumberFormat="1"/>
    <xf numFmtId="164" fontId="2" fillId="0" borderId="0" xfId="0" applyNumberFormat="1" applyFont="1"/>
    <xf numFmtId="1" fontId="2" fillId="0" borderId="0" xfId="0" applyNumberFormat="1" applyFont="1"/>
    <xf numFmtId="9" fontId="2" fillId="0" borderId="0" xfId="0" pivotButton="1" applyNumberFormat="1" applyFont="1"/>
    <xf numFmtId="9" fontId="2" fillId="0" borderId="0" xfId="0" applyNumberFormat="1" applyFont="1" applyAlignment="1">
      <alignment horizontal="left"/>
    </xf>
    <xf numFmtId="0" fontId="2" fillId="0" borderId="0" xfId="0" pivotButton="1" applyFont="1" applyAlignment="1">
      <alignment horizontal="center" vertical="center" wrapText="1"/>
    </xf>
    <xf numFmtId="0" fontId="2" fillId="0" borderId="0" xfId="0" pivotButton="1" applyFont="1" applyAlignment="1">
      <alignment horizontal="center" wrapText="1"/>
    </xf>
    <xf numFmtId="0" fontId="1" fillId="0" borderId="0" xfId="0" pivotButton="1" applyFont="1"/>
    <xf numFmtId="0" fontId="1" fillId="0" borderId="0" xfId="0" applyFont="1"/>
    <xf numFmtId="0" fontId="1" fillId="0" borderId="0" xfId="0" applyFont="1" applyAlignment="1">
      <alignment horizontal="left"/>
    </xf>
    <xf numFmtId="164" fontId="1" fillId="0" borderId="0" xfId="0" applyNumberFormat="1" applyFont="1"/>
    <xf numFmtId="0" fontId="131" fillId="48" borderId="172" xfId="0" applyFont="1" applyFill="1" applyBorder="1" applyAlignment="1">
      <alignment horizontal="center" vertical="center" wrapText="1"/>
    </xf>
    <xf numFmtId="166" fontId="36" fillId="15" borderId="5" xfId="8" applyFont="1" applyFill="1" applyBorder="1" applyAlignment="1">
      <alignment horizontal="center" vertical="center"/>
    </xf>
    <xf numFmtId="166" fontId="36" fillId="15" borderId="6" xfId="8" applyFont="1" applyFill="1" applyBorder="1" applyAlignment="1">
      <alignment horizontal="center" vertical="center"/>
    </xf>
    <xf numFmtId="166" fontId="36" fillId="15" borderId="7" xfId="8" applyFont="1" applyFill="1" applyBorder="1" applyAlignment="1">
      <alignment horizontal="center" vertical="center"/>
    </xf>
    <xf numFmtId="166" fontId="14" fillId="20" borderId="0" xfId="8" applyFont="1" applyFill="1" applyBorder="1" applyAlignment="1">
      <alignment horizontal="left" wrapText="1"/>
    </xf>
    <xf numFmtId="166" fontId="20" fillId="20" borderId="0" xfId="8" applyFill="1" applyBorder="1" applyAlignment="1">
      <alignment horizontal="left" wrapText="1"/>
    </xf>
    <xf numFmtId="166" fontId="20" fillId="20" borderId="9" xfId="8" applyFill="1" applyBorder="1" applyAlignment="1">
      <alignment horizontal="left" wrapText="1"/>
    </xf>
    <xf numFmtId="0" fontId="34" fillId="8" borderId="73" xfId="0" applyFont="1" applyFill="1" applyBorder="1" applyAlignment="1">
      <alignment horizontal="center" vertical="center" wrapText="1"/>
    </xf>
    <xf numFmtId="0" fontId="34" fillId="5" borderId="92" xfId="0" applyFont="1" applyFill="1" applyBorder="1" applyAlignment="1">
      <alignment horizontal="center" vertical="center" wrapText="1"/>
    </xf>
    <xf numFmtId="0" fontId="34" fillId="5" borderId="93" xfId="0" applyFont="1" applyFill="1" applyBorder="1" applyAlignment="1">
      <alignment horizontal="center" vertical="center" wrapText="1"/>
    </xf>
    <xf numFmtId="0" fontId="34" fillId="5" borderId="85" xfId="0" applyFont="1" applyFill="1" applyBorder="1" applyAlignment="1">
      <alignment horizontal="center" vertical="center" wrapText="1"/>
    </xf>
    <xf numFmtId="0" fontId="34" fillId="5" borderId="86" xfId="0" applyFont="1" applyFill="1" applyBorder="1" applyAlignment="1">
      <alignment horizontal="center" vertical="center" wrapText="1"/>
    </xf>
    <xf numFmtId="0" fontId="34" fillId="5" borderId="92" xfId="0" applyFont="1" applyFill="1" applyBorder="1" applyAlignment="1">
      <alignment horizontal="center" vertical="center"/>
    </xf>
    <xf numFmtId="0" fontId="34" fillId="5" borderId="93" xfId="0" applyFont="1" applyFill="1" applyBorder="1" applyAlignment="1">
      <alignment horizontal="center" vertical="center"/>
    </xf>
    <xf numFmtId="9" fontId="123" fillId="26" borderId="0" xfId="19" applyNumberFormat="1" applyFont="1" applyFill="1" applyAlignment="1">
      <alignment horizontal="center" vertical="center" wrapText="1" readingOrder="1"/>
    </xf>
    <xf numFmtId="9" fontId="31" fillId="27" borderId="140" xfId="19" applyNumberFormat="1" applyFont="1" applyFill="1" applyBorder="1" applyAlignment="1">
      <alignment horizontal="center" vertical="center" wrapText="1" readingOrder="1"/>
    </xf>
    <xf numFmtId="9" fontId="31" fillId="27" borderId="0" xfId="19" applyNumberFormat="1" applyFont="1" applyFill="1" applyBorder="1" applyAlignment="1">
      <alignment horizontal="center" vertical="center" wrapText="1" readingOrder="1"/>
    </xf>
    <xf numFmtId="0" fontId="34" fillId="8" borderId="74" xfId="0" applyFont="1" applyFill="1" applyBorder="1" applyAlignment="1">
      <alignment horizontal="center" vertical="center" wrapText="1"/>
    </xf>
    <xf numFmtId="0" fontId="34" fillId="8" borderId="80" xfId="0" applyFont="1" applyFill="1" applyBorder="1" applyAlignment="1">
      <alignment horizontal="center" vertical="center" wrapText="1"/>
    </xf>
    <xf numFmtId="0" fontId="34" fillId="8" borderId="83" xfId="0" applyFont="1" applyFill="1" applyBorder="1" applyAlignment="1">
      <alignment horizontal="center" vertical="center" wrapText="1"/>
    </xf>
    <xf numFmtId="0" fontId="34" fillId="8" borderId="84" xfId="0" applyFont="1" applyFill="1" applyBorder="1" applyAlignment="1">
      <alignment horizontal="center" vertical="center" wrapText="1"/>
    </xf>
    <xf numFmtId="0" fontId="34" fillId="8" borderId="85" xfId="0" applyFont="1" applyFill="1" applyBorder="1" applyAlignment="1">
      <alignment horizontal="center" vertical="center" wrapText="1"/>
    </xf>
    <xf numFmtId="0" fontId="34" fillId="8" borderId="86" xfId="0" applyFont="1" applyFill="1" applyBorder="1" applyAlignment="1">
      <alignment horizontal="center" vertical="center" wrapText="1"/>
    </xf>
    <xf numFmtId="0" fontId="34" fillId="5" borderId="75" xfId="0" applyFont="1" applyFill="1" applyBorder="1" applyAlignment="1">
      <alignment horizontal="center" vertical="center" wrapText="1"/>
    </xf>
    <xf numFmtId="0" fontId="34" fillId="5" borderId="73" xfId="0" applyFont="1" applyFill="1" applyBorder="1" applyAlignment="1">
      <alignment horizontal="center" vertical="center" wrapText="1"/>
    </xf>
    <xf numFmtId="0" fontId="34" fillId="5" borderId="76" xfId="0" applyFont="1" applyFill="1" applyBorder="1" applyAlignment="1">
      <alignment horizontal="center" vertical="center" wrapText="1"/>
    </xf>
    <xf numFmtId="0" fontId="23" fillId="44" borderId="71" xfId="22" applyNumberFormat="1" applyFont="1" applyFill="1" applyBorder="1" applyAlignment="1">
      <alignment horizontal="center" vertical="center"/>
    </xf>
    <xf numFmtId="0" fontId="23" fillId="44" borderId="68" xfId="22" applyNumberFormat="1" applyFont="1" applyFill="1" applyBorder="1" applyAlignment="1">
      <alignment horizontal="center" vertical="center"/>
    </xf>
    <xf numFmtId="0" fontId="34" fillId="5" borderId="99" xfId="0" applyFont="1" applyFill="1" applyBorder="1" applyAlignment="1">
      <alignment horizontal="center" vertical="center"/>
    </xf>
    <xf numFmtId="0" fontId="34" fillId="5" borderId="100" xfId="0" applyFont="1" applyFill="1" applyBorder="1" applyAlignment="1">
      <alignment horizontal="center" vertical="center"/>
    </xf>
    <xf numFmtId="0" fontId="34" fillId="5" borderId="101" xfId="0" applyFont="1" applyFill="1" applyBorder="1" applyAlignment="1">
      <alignment horizontal="center" vertical="center"/>
    </xf>
    <xf numFmtId="0" fontId="34" fillId="5" borderId="75" xfId="0" applyFont="1" applyFill="1" applyBorder="1" applyAlignment="1">
      <alignment horizontal="center" vertical="center"/>
    </xf>
    <xf numFmtId="0" fontId="34" fillId="5" borderId="73" xfId="0" applyFont="1" applyFill="1" applyBorder="1" applyAlignment="1">
      <alignment horizontal="center" vertical="center"/>
    </xf>
    <xf numFmtId="0" fontId="34" fillId="5" borderId="76" xfId="0" applyFont="1" applyFill="1" applyBorder="1" applyAlignment="1">
      <alignment horizontal="center" vertical="center"/>
    </xf>
    <xf numFmtId="0" fontId="34" fillId="5" borderId="80" xfId="0" applyFont="1" applyFill="1" applyBorder="1" applyAlignment="1">
      <alignment horizontal="center" vertical="center" wrapText="1"/>
    </xf>
    <xf numFmtId="0" fontId="33" fillId="56" borderId="0" xfId="22" applyFont="1" applyFill="1" applyAlignment="1">
      <alignment horizontal="center" vertical="center" readingOrder="1"/>
    </xf>
    <xf numFmtId="0" fontId="112" fillId="16" borderId="71" xfId="22" applyFont="1" applyFill="1" applyBorder="1" applyAlignment="1">
      <alignment horizontal="center" vertical="center" readingOrder="1"/>
    </xf>
    <xf numFmtId="0" fontId="112" fillId="16" borderId="146" xfId="22" applyFont="1" applyFill="1" applyBorder="1" applyAlignment="1">
      <alignment horizontal="center" vertical="center" readingOrder="1"/>
    </xf>
    <xf numFmtId="0" fontId="112" fillId="16" borderId="68" xfId="22" applyFont="1" applyFill="1" applyBorder="1" applyAlignment="1">
      <alignment horizontal="center" vertical="center" readingOrder="1"/>
    </xf>
    <xf numFmtId="0" fontId="34" fillId="5" borderId="87" xfId="0" applyFont="1" applyFill="1" applyBorder="1" applyAlignment="1">
      <alignment horizontal="center" vertical="center"/>
    </xf>
    <xf numFmtId="0" fontId="34" fillId="5" borderId="88" xfId="0" applyFont="1" applyFill="1" applyBorder="1" applyAlignment="1">
      <alignment horizontal="center" vertical="center"/>
    </xf>
    <xf numFmtId="0" fontId="33" fillId="38" borderId="165" xfId="0" applyFont="1" applyFill="1" applyBorder="1" applyAlignment="1">
      <alignment horizontal="center" vertical="center" textRotation="90" wrapText="1"/>
    </xf>
    <xf numFmtId="0" fontId="33" fillId="38" borderId="0" xfId="0" applyFont="1" applyFill="1" applyBorder="1" applyAlignment="1">
      <alignment horizontal="center" vertical="center" textRotation="90" wrapText="1"/>
    </xf>
    <xf numFmtId="0" fontId="33" fillId="38" borderId="166" xfId="0" applyFont="1" applyFill="1" applyBorder="1" applyAlignment="1">
      <alignment horizontal="center" vertical="center" textRotation="90" wrapText="1"/>
    </xf>
    <xf numFmtId="0" fontId="33" fillId="56" borderId="143" xfId="22" applyFont="1" applyFill="1" applyBorder="1" applyAlignment="1">
      <alignment horizontal="center" vertical="center" textRotation="90" readingOrder="1"/>
    </xf>
    <xf numFmtId="0" fontId="33" fillId="56" borderId="0" xfId="22" applyFont="1" applyFill="1" applyAlignment="1">
      <alignment horizontal="center" vertical="center" textRotation="90" readingOrder="1"/>
    </xf>
    <xf numFmtId="0" fontId="107" fillId="0" borderId="0" xfId="19" applyFont="1" applyAlignment="1">
      <alignment horizontal="left" vertical="center"/>
    </xf>
    <xf numFmtId="0" fontId="144" fillId="2" borderId="67" xfId="22" applyFont="1" applyFill="1" applyBorder="1" applyAlignment="1">
      <alignment horizontal="center" vertical="center" textRotation="90" readingOrder="1"/>
    </xf>
    <xf numFmtId="0" fontId="144" fillId="2" borderId="91" xfId="22" applyFont="1" applyFill="1" applyBorder="1" applyAlignment="1">
      <alignment horizontal="center" vertical="center" textRotation="90" readingOrder="1"/>
    </xf>
    <xf numFmtId="0" fontId="144" fillId="14" borderId="67" xfId="22" applyFont="1" applyFill="1" applyBorder="1" applyAlignment="1">
      <alignment horizontal="center" vertical="center" textRotation="90" readingOrder="1"/>
    </xf>
    <xf numFmtId="0" fontId="144" fillId="14" borderId="91" xfId="22" applyFont="1" applyFill="1" applyBorder="1" applyAlignment="1">
      <alignment horizontal="center" vertical="center" textRotation="90" readingOrder="1"/>
    </xf>
    <xf numFmtId="0" fontId="144" fillId="14" borderId="69" xfId="22" applyFont="1" applyFill="1" applyBorder="1" applyAlignment="1">
      <alignment horizontal="center" vertical="center" textRotation="90" readingOrder="1"/>
    </xf>
    <xf numFmtId="0" fontId="144" fillId="38" borderId="67" xfId="22" applyFont="1" applyFill="1" applyBorder="1" applyAlignment="1">
      <alignment horizontal="center" vertical="center" textRotation="90" readingOrder="1"/>
    </xf>
    <xf numFmtId="0" fontId="144" fillId="38" borderId="91" xfId="22" applyFont="1" applyFill="1" applyBorder="1" applyAlignment="1">
      <alignment horizontal="center" vertical="center" textRotation="90" readingOrder="1"/>
    </xf>
    <xf numFmtId="0" fontId="144" fillId="38" borderId="69" xfId="22" applyFont="1" applyFill="1" applyBorder="1" applyAlignment="1">
      <alignment horizontal="center" vertical="center" textRotation="90" readingOrder="1"/>
    </xf>
    <xf numFmtId="0" fontId="144" fillId="9" borderId="67" xfId="22" applyFont="1" applyFill="1" applyBorder="1" applyAlignment="1">
      <alignment horizontal="center" vertical="center" textRotation="90" readingOrder="1"/>
    </xf>
    <xf numFmtId="0" fontId="144" fillId="9" borderId="91" xfId="22" applyFont="1" applyFill="1" applyBorder="1" applyAlignment="1">
      <alignment horizontal="center" vertical="center" textRotation="90" readingOrder="1"/>
    </xf>
    <xf numFmtId="0" fontId="144" fillId="9" borderId="69" xfId="22" applyFont="1" applyFill="1" applyBorder="1" applyAlignment="1">
      <alignment horizontal="center" vertical="center" textRotation="90" readingOrder="1"/>
    </xf>
    <xf numFmtId="0" fontId="144" fillId="16" borderId="67" xfId="22" applyFont="1" applyFill="1" applyBorder="1" applyAlignment="1">
      <alignment horizontal="center" vertical="center" textRotation="90" readingOrder="1"/>
    </xf>
    <xf numFmtId="0" fontId="144" fillId="16" borderId="91" xfId="22" applyFont="1" applyFill="1" applyBorder="1" applyAlignment="1">
      <alignment horizontal="center" vertical="center" textRotation="90" readingOrder="1"/>
    </xf>
    <xf numFmtId="0" fontId="144" fillId="16" borderId="69" xfId="22" applyFont="1" applyFill="1" applyBorder="1" applyAlignment="1">
      <alignment horizontal="center" vertical="center" textRotation="90" readingOrder="1"/>
    </xf>
    <xf numFmtId="0" fontId="109" fillId="0" borderId="0" xfId="19" applyFont="1" applyAlignment="1">
      <alignment horizontal="left" vertical="center"/>
    </xf>
    <xf numFmtId="0" fontId="66" fillId="0" borderId="0" xfId="0" applyFont="1" applyAlignment="1">
      <alignment horizontal="center"/>
    </xf>
    <xf numFmtId="0" fontId="73" fillId="0" borderId="105" xfId="0" applyFont="1" applyBorder="1" applyAlignment="1">
      <alignment horizontal="center" vertical="center" wrapText="1"/>
    </xf>
    <xf numFmtId="0" fontId="73" fillId="0" borderId="106" xfId="0" applyFont="1" applyBorder="1" applyAlignment="1">
      <alignment horizontal="center" vertical="center" wrapText="1"/>
    </xf>
    <xf numFmtId="0" fontId="12" fillId="0" borderId="0" xfId="0" applyFont="1" applyAlignment="1">
      <alignment horizontal="center"/>
    </xf>
    <xf numFmtId="0" fontId="16" fillId="0" borderId="0" xfId="0" applyFont="1" applyAlignment="1">
      <alignment horizontal="center"/>
    </xf>
    <xf numFmtId="0" fontId="90" fillId="41" borderId="0" xfId="0" applyFont="1" applyFill="1" applyAlignment="1">
      <alignment horizontal="center" vertical="center"/>
    </xf>
    <xf numFmtId="0" fontId="77" fillId="26" borderId="0" xfId="0" applyFont="1" applyFill="1" applyAlignment="1">
      <alignment horizontal="center" vertical="center" wrapText="1"/>
    </xf>
    <xf numFmtId="164" fontId="76" fillId="15" borderId="0" xfId="4" applyNumberFormat="1" applyFont="1" applyFill="1" applyAlignment="1">
      <alignment horizontal="center" vertical="center" wrapText="1"/>
    </xf>
    <xf numFmtId="169" fontId="66" fillId="10" borderId="159" xfId="1" applyNumberFormat="1" applyFont="1" applyFill="1" applyBorder="1" applyAlignment="1">
      <alignment horizontal="center" vertical="center" wrapText="1"/>
    </xf>
    <xf numFmtId="169" fontId="66" fillId="10" borderId="29" xfId="1" applyNumberFormat="1" applyFont="1" applyFill="1" applyBorder="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938">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937"/>
      <tableStyleElement type="headerRow" dxfId="936"/>
    </tableStyle>
    <tableStyle name="4W Style" pivot="0" table="0" count="1" xr9:uid="{00000000-0011-0000-FFFF-FFFF01000000}">
      <tableStyleElement type="wholeTable" dxfId="935"/>
    </tableStyle>
    <tableStyle name="CUSTOM" table="0" count="13" xr9:uid="{00000000-0011-0000-FFFF-FFFF02000000}">
      <tableStyleElement type="wholeTable" dxfId="934"/>
      <tableStyleElement type="headerRow" dxfId="933"/>
      <tableStyleElement type="totalRow" dxfId="932"/>
      <tableStyleElement type="firstColumn" dxfId="931"/>
      <tableStyleElement type="firstRowStripe" dxfId="930"/>
      <tableStyleElement type="secondRowStripe" dxfId="929"/>
      <tableStyleElement type="firstColumnStripe" dxfId="928"/>
      <tableStyleElement type="firstSubtotalRow" dxfId="927"/>
      <tableStyleElement type="secondSubtotalRow" dxfId="926"/>
      <tableStyleElement type="secondColumnSubheading" dxfId="925"/>
      <tableStyleElement type="thirdColumnSubheading" dxfId="924"/>
      <tableStyleElement type="firstRowSubheading" dxfId="923"/>
      <tableStyleElement type="secondRowSubheading" dxfId="922"/>
    </tableStyle>
    <tableStyle name="PivotStyleLight10 2" table="0" count="12" xr9:uid="{00000000-0011-0000-FFFF-FFFF03000000}">
      <tableStyleElement type="wholeTable" dxfId="921"/>
      <tableStyleElement type="headerRow" dxfId="920"/>
      <tableStyleElement type="totalRow" dxfId="919"/>
      <tableStyleElement type="firstColumn" dxfId="918"/>
      <tableStyleElement type="firstRowStripe" dxfId="917"/>
      <tableStyleElement type="firstColumnStripe" dxfId="916"/>
      <tableStyleElement type="firstSubtotalRow" dxfId="915"/>
      <tableStyleElement type="secondSubtotalRow" dxfId="914"/>
      <tableStyleElement type="secondColumnSubheading" dxfId="913"/>
      <tableStyleElement type="thirdColumnSubheading" dxfId="912"/>
      <tableStyleElement type="firstRowSubheading" dxfId="911"/>
      <tableStyleElement type="secondRowSubheading" dxfId="910"/>
    </tableStyle>
    <tableStyle name="PivotStyleLight14 2" table="0" count="12" xr9:uid="{00000000-0011-0000-FFFF-FFFF04000000}">
      <tableStyleElement type="wholeTable" dxfId="909"/>
      <tableStyleElement type="headerRow" dxfId="908"/>
      <tableStyleElement type="totalRow" dxfId="907"/>
      <tableStyleElement type="firstColumn" dxfId="906"/>
      <tableStyleElement type="firstRowStripe" dxfId="905"/>
      <tableStyleElement type="firstColumnStripe" dxfId="904"/>
      <tableStyleElement type="firstSubtotalRow" dxfId="903"/>
      <tableStyleElement type="secondSubtotalRow" dxfId="902"/>
      <tableStyleElement type="secondColumnSubheading" dxfId="901"/>
      <tableStyleElement type="thirdColumnSubheading" dxfId="900"/>
      <tableStyleElement type="firstRowSubheading" dxfId="899"/>
      <tableStyleElement type="secondRowSubheading" dxfId="898"/>
    </tableStyle>
    <tableStyle name="PivotStyleLight23 2" table="0" count="10" xr9:uid="{00000000-0011-0000-FFFF-FFFF05000000}">
      <tableStyleElement type="wholeTable" dxfId="897"/>
      <tableStyleElement type="headerRow" dxfId="896"/>
      <tableStyleElement type="totalRow" dxfId="895"/>
      <tableStyleElement type="firstColumn" dxfId="894"/>
      <tableStyleElement type="firstRowStripe" dxfId="893"/>
      <tableStyleElement type="firstColumnStripe" dxfId="892"/>
      <tableStyleElement type="firstSubtotalColumn" dxfId="891"/>
      <tableStyleElement type="firstSubtotalRow" dxfId="890"/>
      <tableStyleElement type="secondSubtotalRow" dxfId="889"/>
      <tableStyleElement type="pageFieldLabels" dxfId="888"/>
    </tableStyle>
    <tableStyle name="PivotStyleLight9 2" table="0" count="13" xr9:uid="{00000000-0011-0000-FFFF-FFFF06000000}">
      <tableStyleElement type="wholeTable" dxfId="887"/>
      <tableStyleElement type="headerRow" dxfId="886"/>
      <tableStyleElement type="totalRow" dxfId="885"/>
      <tableStyleElement type="firstColumn" dxfId="884"/>
      <tableStyleElement type="firstRowStripe" dxfId="883"/>
      <tableStyleElement type="secondRowStripe" dxfId="882"/>
      <tableStyleElement type="firstColumnStripe" dxfId="881"/>
      <tableStyleElement type="firstSubtotalRow" dxfId="880"/>
      <tableStyleElement type="secondSubtotalRow" dxfId="879"/>
      <tableStyleElement type="secondColumnSubheading" dxfId="878"/>
      <tableStyleElement type="thirdColumnSubheading" dxfId="877"/>
      <tableStyleElement type="firstRowSubheading" dxfId="876"/>
      <tableStyleElement type="secondRowSubheading" dxfId="875"/>
    </tableStyle>
    <tableStyle name="PivotTable Style 1" table="0" count="1" xr9:uid="{00000000-0011-0000-FFFF-FFFF07000000}">
      <tableStyleElement type="wholeTable" dxfId="874"/>
    </tableStyle>
    <tableStyle name="PivotTable Style a" table="0" count="7" xr9:uid="{00000000-0011-0000-FFFF-FFFF08000000}">
      <tableStyleElement type="wholeTable" dxfId="873"/>
      <tableStyleElement type="headerRow" dxfId="872"/>
      <tableStyleElement type="totalRow" dxfId="871"/>
      <tableStyleElement type="firstColumn" dxfId="870"/>
      <tableStyleElement type="secondSubtotalRow" dxfId="869"/>
      <tableStyleElement type="firstRowSubheading" dxfId="868"/>
      <tableStyleElement type="secondRowSubheading" dxfId="867"/>
    </tableStyle>
    <tableStyle name="Slicer Style 1" pivot="0" table="0" count="5" xr9:uid="{00000000-0011-0000-FFFF-FFFF09000000}">
      <tableStyleElement type="wholeTable" dxfId="866"/>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07/relationships/slicerCache" Target="slicerCaches/slicerCache1.xml"/><Relationship Id="rId39" Type="http://schemas.openxmlformats.org/officeDocument/2006/relationships/sharedStrings" Target="sharedStrings.xml"/><Relationship Id="rId21" Type="http://schemas.openxmlformats.org/officeDocument/2006/relationships/externalLink" Target="externalLinks/externalLink4.xml"/><Relationship Id="rId34" Type="http://schemas.microsoft.com/office/2007/relationships/slicerCache" Target="slicerCaches/slicerCache9.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microsoft.com/office/2007/relationships/slicerCache" Target="slicerCaches/slicerCache7.xml"/><Relationship Id="rId37" Type="http://schemas.openxmlformats.org/officeDocument/2006/relationships/connections" Target="connections.xml"/><Relationship Id="rId40" Type="http://schemas.openxmlformats.org/officeDocument/2006/relationships/sheetMetadata" Target="metadata.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7/relationships/slicerCache" Target="slicerCaches/slicerCache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6.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microsoft.com/office/2007/relationships/slicerCache" Target="slicerCaches/slicerCache2.xml"/><Relationship Id="rId30" Type="http://schemas.microsoft.com/office/2007/relationships/slicerCache" Target="slicerCaches/slicerCache5.xml"/><Relationship Id="rId35" Type="http://schemas.microsoft.com/office/2007/relationships/slicerCache" Target="slicerCaches/slicerCache10.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microsoft.com/office/2007/relationships/slicerCache" Target="slicerCaches/slicerCache8.xml"/><Relationship Id="rId38" Type="http://schemas.openxmlformats.org/officeDocument/2006/relationships/styles" Target="styles.xml"/><Relationship Id="rId20" Type="http://schemas.openxmlformats.org/officeDocument/2006/relationships/externalLink" Target="externalLinks/externalLink3.xml"/><Relationship Id="rId41"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2022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7400</c:v>
                </c:pt>
                <c:pt idx="2">
                  <c:v>1296</c:v>
                </c:pt>
                <c:pt idx="3">
                  <c:v>82457</c:v>
                </c:pt>
                <c:pt idx="4">
                  <c:v>122220</c:v>
                </c:pt>
                <c:pt idx="5">
                  <c:v>146453</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3534.0500000000011</c:v>
                </c:pt>
                <c:pt idx="2">
                  <c:v>27132.530000000002</c:v>
                </c:pt>
                <c:pt idx="3">
                  <c:v>136224</c:v>
                </c:pt>
                <c:pt idx="4">
                  <c:v>96461</c:v>
                </c:pt>
                <c:pt idx="5">
                  <c:v>72228</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Analysis!$C$317</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Analysis!$C$318</c:f>
              <c:numCache>
                <c:formatCode>_(* #,##0_);_(* \(#,##0\);_(* "-"??_);_(@_)</c:formatCode>
                <c:ptCount val="1"/>
                <c:pt idx="0">
                  <c:v>148</c:v>
                </c:pt>
              </c:numCache>
            </c:numRef>
          </c:val>
          <c:extLst>
            <c:ext xmlns:c16="http://schemas.microsoft.com/office/drawing/2014/chart" uri="{C3380CC4-5D6E-409C-BE32-E72D297353CC}">
              <c16:uniqueId val="{00000001-CE36-475E-86D3-F17BC512A813}"/>
            </c:ext>
          </c:extLst>
        </c:ser>
        <c:ser>
          <c:idx val="1"/>
          <c:order val="1"/>
          <c:tx>
            <c:strRef>
              <c:f>Analysis!$D$317</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Analysis!$D$318</c:f>
              <c:numCache>
                <c:formatCode>_(* #,##0_);_(* \(#,##0\);_(* "-"??_);_(@_)</c:formatCode>
                <c:ptCount val="1"/>
                <c:pt idx="0">
                  <c:v>12</c:v>
                </c:pt>
              </c:numCache>
            </c:numRef>
          </c:val>
          <c:extLst>
            <c:ext xmlns:c16="http://schemas.microsoft.com/office/drawing/2014/chart" uri="{C3380CC4-5D6E-409C-BE32-E72D297353CC}">
              <c16:uniqueId val="{00000002-CE36-475E-86D3-F17BC512A813}"/>
            </c:ext>
          </c:extLst>
        </c:ser>
        <c:ser>
          <c:idx val="2"/>
          <c:order val="2"/>
          <c:tx>
            <c:strRef>
              <c:f>Analysis!$E$317</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Analysis!$E$318</c:f>
              <c:numCache>
                <c:formatCode>_(* #,##0_);_(* \(#,##0\);_(* "-"??_);_(@_)</c:formatCode>
                <c:ptCount val="1"/>
                <c:pt idx="0">
                  <c:v>61</c:v>
                </c:pt>
              </c:numCache>
            </c:numRef>
          </c:val>
          <c:extLst>
            <c:ext xmlns:c16="http://schemas.microsoft.com/office/drawing/2014/chart" uri="{C3380CC4-5D6E-409C-BE32-E72D297353CC}">
              <c16:uniqueId val="{00000003-CE36-475E-86D3-F17BC512A813}"/>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F88-4081-9E5B-64976B77BD7F}"/>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3027308849978708"/>
          <c:h val="9.32687603111597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c:v>
                </c:pt>
                <c:pt idx="2">
                  <c:v>1</c:v>
                </c:pt>
                <c:pt idx="3">
                  <c:v>1</c:v>
                </c:pt>
              </c:numCache>
            </c:numRef>
          </c:val>
          <c:extLst>
            <c:ext xmlns:c16="http://schemas.microsoft.com/office/drawing/2014/chart" uri="{C3380CC4-5D6E-409C-BE32-E72D297353CC}">
              <c16:uniqueId val="{00000001-9BD7-47EC-9EAB-D2452F4F8913}"/>
            </c:ext>
          </c:extLst>
        </c:ser>
        <c:ser>
          <c:idx val="1"/>
          <c:order val="1"/>
          <c:tx>
            <c:strRef>
              <c:f>Analysis!$D$83</c:f>
              <c:strCache>
                <c:ptCount val="1"/>
                <c:pt idx="0">
                  <c:v> % Water GAP</c:v>
                </c:pt>
              </c:strCache>
            </c:strRef>
          </c:tx>
          <c:spPr>
            <a:solidFill>
              <a:schemeClr val="accent5">
                <a:lumMod val="40000"/>
                <a:lumOff val="60000"/>
              </a:schemeClr>
            </a:solidFill>
            <a:ln>
              <a:noFill/>
            </a:ln>
            <a:effectLst/>
          </c:spPr>
          <c:invertIfNegative val="0"/>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1</c:v>
                </c:pt>
                <c:pt idx="2">
                  <c:v>0</c:v>
                </c:pt>
                <c:pt idx="3">
                  <c:v>0</c:v>
                </c:pt>
              </c:numCache>
            </c:numRef>
          </c:val>
          <c:extLst>
            <c:ext xmlns:c16="http://schemas.microsoft.com/office/drawing/2014/chart" uri="{C3380CC4-5D6E-409C-BE32-E72D297353CC}">
              <c16:uniqueId val="{00000002-9BD7-47EC-9EAB-D2452F4F8913}"/>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0.7312939062244731</c:v>
                </c:pt>
                <c:pt idx="3">
                  <c:v>0.87436977691829543</c:v>
                </c:pt>
              </c:numCache>
            </c:numRef>
          </c:val>
          <c:extLst>
            <c:ext xmlns:c16="http://schemas.microsoft.com/office/drawing/2014/chart" uri="{C3380CC4-5D6E-409C-BE32-E72D297353CC}">
              <c16:uniqueId val="{00000001-85E8-4688-8C1F-B94B57DDF47C}"/>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0.2687060937755269</c:v>
                </c:pt>
                <c:pt idx="3">
                  <c:v>0.12563022308170457</c:v>
                </c:pt>
              </c:numCache>
            </c:numRef>
          </c:val>
          <c:extLst>
            <c:ext xmlns:c16="http://schemas.microsoft.com/office/drawing/2014/chart" uri="{C3380CC4-5D6E-409C-BE32-E72D297353CC}">
              <c16:uniqueId val="{00000002-85E8-4688-8C1F-B94B57DDF47C}"/>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1</c:v>
                </c:pt>
                <c:pt idx="3">
                  <c:v>0.28895872182701382</c:v>
                </c:pt>
              </c:numCache>
            </c:numRef>
          </c:val>
          <c:extLst>
            <c:ext xmlns:c16="http://schemas.microsoft.com/office/drawing/2014/chart" uri="{C3380CC4-5D6E-409C-BE32-E72D297353CC}">
              <c16:uniqueId val="{00000001-4A43-49A6-8130-8FC105EB916A}"/>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0</c:v>
                </c:pt>
                <c:pt idx="3">
                  <c:v>0.71104127817298624</c:v>
                </c:pt>
              </c:numCache>
            </c:numRef>
          </c:val>
          <c:extLst>
            <c:ext xmlns:c16="http://schemas.microsoft.com/office/drawing/2014/chart" uri="{C3380CC4-5D6E-409C-BE32-E72D297353CC}">
              <c16:uniqueId val="{00000002-4A43-49A6-8130-8FC105EB916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c:v>
                </c:pt>
                <c:pt idx="1">
                  <c:v>20</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36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Analysis!$F$47</c:f>
              <c:strCache>
                <c:ptCount val="1"/>
                <c:pt idx="0">
                  <c:v>Central Rakhine</c:v>
                </c:pt>
              </c:strCache>
            </c:strRef>
          </c:cat>
          <c:val>
            <c:numRef>
              <c:f>Analysis!$J$47</c:f>
              <c:numCache>
                <c:formatCode>0%</c:formatCode>
                <c:ptCount val="1"/>
                <c:pt idx="0">
                  <c:v>1</c:v>
                </c:pt>
              </c:numCache>
            </c:numRef>
          </c:val>
          <c:extLst>
            <c:ext xmlns:c16="http://schemas.microsoft.com/office/drawing/2014/chart" uri="{C3380CC4-5D6E-409C-BE32-E72D297353CC}">
              <c16:uniqueId val="{00000000-F935-4EB7-A6DD-5FF2CD715C68}"/>
            </c:ext>
          </c:extLst>
        </c:ser>
        <c:ser>
          <c:idx val="1"/>
          <c:order val="1"/>
          <c:tx>
            <c:strRef>
              <c:f>Analysis!$K$46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Analysis!$F$47</c:f>
              <c:strCache>
                <c:ptCount val="1"/>
                <c:pt idx="0">
                  <c:v>Central Rakhine</c:v>
                </c:pt>
              </c:strCache>
            </c:strRef>
          </c:cat>
          <c:val>
            <c:numRef>
              <c:f>Analysis!$K$47</c:f>
              <c:numCache>
                <c:formatCode>0%</c:formatCode>
                <c:ptCount val="1"/>
                <c:pt idx="0">
                  <c:v>0</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c:v>
                </c:pt>
                <c:pt idx="1">
                  <c:v>20</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Analysis!$Z$46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Analysis!$V$47</c:f>
              <c:strCache>
                <c:ptCount val="1"/>
                <c:pt idx="0">
                  <c:v>Central Rakhine</c:v>
                </c:pt>
              </c:strCache>
            </c:strRef>
          </c:cat>
          <c:val>
            <c:numRef>
              <c:f>Analysis!$Z$47</c:f>
              <c:numCache>
                <c:formatCode>0%</c:formatCode>
                <c:ptCount val="1"/>
                <c:pt idx="0">
                  <c:v>0.99</c:v>
                </c:pt>
              </c:numCache>
            </c:numRef>
          </c:val>
          <c:extLst>
            <c:ext xmlns:c16="http://schemas.microsoft.com/office/drawing/2014/chart" uri="{C3380CC4-5D6E-409C-BE32-E72D297353CC}">
              <c16:uniqueId val="{00000000-A528-4231-8455-2E23C4C4DBA8}"/>
            </c:ext>
          </c:extLst>
        </c:ser>
        <c:ser>
          <c:idx val="1"/>
          <c:order val="1"/>
          <c:tx>
            <c:strRef>
              <c:f>Analysis!$AA$46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Analysis!$V$47</c:f>
              <c:strCache>
                <c:ptCount val="1"/>
                <c:pt idx="0">
                  <c:v>Central Rakhine</c:v>
                </c:pt>
              </c:strCache>
            </c:strRef>
          </c:cat>
          <c:val>
            <c:numRef>
              <c:f>Analysis!$AA$47</c:f>
              <c:numCache>
                <c:formatCode>0%</c:formatCode>
                <c:ptCount val="1"/>
                <c:pt idx="0">
                  <c:v>1.0000000000000009E-2</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0.99428571428571444</c:v>
                </c:pt>
                <c:pt idx="1">
                  <c:v>0.96750000000000003</c:v>
                </c:pt>
                <c:pt idx="2">
                  <c:v>0.79374999999999996</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5.7142857142855608E-3</c:v>
                </c:pt>
                <c:pt idx="1">
                  <c:v>3.2499999999999973E-2</c:v>
                </c:pt>
                <c:pt idx="2">
                  <c:v>0.20625000000000004</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HRP!$O$16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HRP!$O$17:$O$19</c:f>
              <c:numCache>
                <c:formatCode>0%</c:formatCode>
                <c:ptCount val="3"/>
                <c:pt idx="0" formatCode="0.0%">
                  <c:v>0.50493737516956172</c:v>
                </c:pt>
                <c:pt idx="1">
                  <c:v>0.52735210164460367</c:v>
                </c:pt>
                <c:pt idx="2">
                  <c:v>0.33073855236902577</c:v>
                </c:pt>
              </c:numCache>
            </c:numRef>
          </c:val>
          <c:extLst>
            <c:ext xmlns:c16="http://schemas.microsoft.com/office/drawing/2014/chart" uri="{C3380CC4-5D6E-409C-BE32-E72D297353CC}">
              <c16:uniqueId val="{00000000-78ED-4C56-BA32-1282FB4F42D0}"/>
            </c:ext>
          </c:extLst>
        </c:ser>
        <c:ser>
          <c:idx val="1"/>
          <c:order val="1"/>
          <c:tx>
            <c:strRef>
              <c:f>HRP!$P$16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0.49506262483043828</c:v>
                </c:pt>
                <c:pt idx="1">
                  <c:v>0.47264789835539633</c:v>
                </c:pt>
                <c:pt idx="2">
                  <c:v>0.66926144763097417</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1029</c:v>
                </c:pt>
                <c:pt idx="1">
                  <c:v>7999</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0.76400000000000001</c:v>
                </c:pt>
                <c:pt idx="1">
                  <c:v>0.88875000000000004</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0.23599999999999999</c:v>
                </c:pt>
                <c:pt idx="1">
                  <c:v>0.11124999999999996</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Analysis!$C$359</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Analysis!$B$360:$B$363</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Analysis!$C$360:$C$363</c:f>
              <c:numCache>
                <c:formatCode>0%</c:formatCode>
                <c:ptCount val="4"/>
                <c:pt idx="0">
                  <c:v>0.96142857142857152</c:v>
                </c:pt>
                <c:pt idx="1">
                  <c:v>0.97428571428571431</c:v>
                </c:pt>
                <c:pt idx="2">
                  <c:v>0.93285714285714294</c:v>
                </c:pt>
                <c:pt idx="3">
                  <c:v>0.96714285714285708</c:v>
                </c:pt>
              </c:numCache>
            </c:numRef>
          </c:val>
          <c:extLst>
            <c:ext xmlns:c16="http://schemas.microsoft.com/office/drawing/2014/chart" uri="{C3380CC4-5D6E-409C-BE32-E72D297353CC}">
              <c16:uniqueId val="{00000000-F9D3-49B0-84FE-3DC0B87CEE6D}"/>
            </c:ext>
          </c:extLst>
        </c:ser>
        <c:ser>
          <c:idx val="1"/>
          <c:order val="1"/>
          <c:tx>
            <c:strRef>
              <c:f>Analysis!$D$359</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Analysis!$B$360:$B$363</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Analysis!$D$360:$D$363</c:f>
              <c:numCache>
                <c:formatCode>0%</c:formatCode>
                <c:ptCount val="4"/>
                <c:pt idx="0">
                  <c:v>3.8571428571428479E-2</c:v>
                </c:pt>
                <c:pt idx="1">
                  <c:v>2.571428571428569E-2</c:v>
                </c:pt>
                <c:pt idx="2">
                  <c:v>6.714285714285706E-2</c:v>
                </c:pt>
                <c:pt idx="3">
                  <c:v>3.2857142857142918E-2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88764</c:v>
                </c:pt>
                <c:pt idx="1">
                  <c:v>5736</c:v>
                </c:pt>
                <c:pt idx="2">
                  <c:v>6909</c:v>
                </c:pt>
                <c:pt idx="3">
                  <c:v>7002</c:v>
                </c:pt>
                <c:pt idx="4">
                  <c:v>6934</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Analysis!$L$314</c:f>
              <c:strCache>
                <c:ptCount val="1"/>
                <c:pt idx="0">
                  <c:v>Number of women, men, girls and boys accessing WASH services in temporary health facilities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Analysis!$N$314:$O$314</c:f>
              <c:numCache>
                <c:formatCode>General</c:formatCode>
                <c:ptCount val="2"/>
                <c:pt idx="0">
                  <c:v>600</c:v>
                </c:pt>
                <c:pt idx="1">
                  <c:v>5960.4299999999994</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1206</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131</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1011</c:v>
                </c:pt>
                <c:pt idx="3">
                  <c:v>4001</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214</c:v>
                </c:pt>
                <c:pt idx="3">
                  <c:v>343</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53</c:v>
                </c:pt>
                <c:pt idx="1">
                  <c:v>146</c:v>
                </c:pt>
                <c:pt idx="2">
                  <c:v>1225</c:v>
                </c:pt>
                <c:pt idx="3">
                  <c:v>4344</c:v>
                </c:pt>
              </c:numCache>
            </c:numRef>
          </c:val>
          <c:extLst>
            <c:ext xmlns:c16="http://schemas.microsoft.com/office/drawing/2014/chart" uri="{C3380CC4-5D6E-409C-BE32-E72D297353CC}">
              <c16:uniqueId val="{00000001-E821-4A8A-895B-6FAC610C53E9}"/>
            </c:ext>
          </c:extLst>
        </c:ser>
        <c:ser>
          <c:idx val="1"/>
          <c:order val="1"/>
          <c:tx>
            <c:strRef>
              <c:f>Analysis!$R$121</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1011</c:v>
                </c:pt>
                <c:pt idx="3">
                  <c:v>4001</c:v>
                </c:pt>
              </c:numCache>
            </c:numRef>
          </c:val>
          <c:extLst>
            <c:ext xmlns:c16="http://schemas.microsoft.com/office/drawing/2014/chart" uri="{C3380CC4-5D6E-409C-BE32-E72D297353CC}">
              <c16:uniqueId val="{00000002-E821-4A8A-895B-6FAC610C53E9}"/>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11.351063829787234</c:v>
                </c:pt>
                <c:pt idx="1">
                  <c:v>4.5482866043613708</c:v>
                </c:pt>
                <c:pt idx="2">
                  <c:v>24.217606330365975</c:v>
                </c:pt>
                <c:pt idx="3">
                  <c:v>21.713071732066982</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Analysis!$Q$314</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Analysis!$S$314:$T$314</c:f>
              <c:numCache>
                <c:formatCode>General</c:formatCode>
                <c:ptCount val="2"/>
                <c:pt idx="0">
                  <c:v>7400</c:v>
                </c:pt>
                <c:pt idx="1">
                  <c:v>3534.0500000000011</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2022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600</c:v>
                </c:pt>
                <c:pt idx="1">
                  <c:v>7400</c:v>
                </c:pt>
                <c:pt idx="2">
                  <c:v>33981</c:v>
                </c:pt>
                <c:pt idx="3">
                  <c:v>169337</c:v>
                </c:pt>
                <c:pt idx="4">
                  <c:v>146258</c:v>
                </c:pt>
                <c:pt idx="5">
                  <c:v>228905</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5960.4299999999994</c:v>
                </c:pt>
                <c:pt idx="1">
                  <c:v>3534.0500000000011</c:v>
                </c:pt>
                <c:pt idx="2">
                  <c:v>23779.085675779846</c:v>
                </c:pt>
                <c:pt idx="3">
                  <c:v>342659.55675779848</c:v>
                </c:pt>
                <c:pt idx="4">
                  <c:v>131086.1113515597</c:v>
                </c:pt>
                <c:pt idx="5">
                  <c:v>224428.44540623878</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1067</c:v>
                </c:pt>
                <c:pt idx="1">
                  <c:v>2920</c:v>
                </c:pt>
                <c:pt idx="2">
                  <c:v>24484</c:v>
                </c:pt>
                <c:pt idx="3">
                  <c:v>86874</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1067</c:v>
                </c:pt>
                <c:pt idx="1">
                  <c:v>0</c:v>
                </c:pt>
                <c:pt idx="2">
                  <c:v>25636</c:v>
                </c:pt>
                <c:pt idx="3">
                  <c:v>25103</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1067</c:v>
                </c:pt>
                <c:pt idx="1">
                  <c:v>2920</c:v>
                </c:pt>
                <c:pt idx="2">
                  <c:v>17905</c:v>
                </c:pt>
                <c:pt idx="3">
                  <c:v>75960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1067</c:v>
                </c:pt>
                <c:pt idx="1">
                  <c:v>0</c:v>
                </c:pt>
                <c:pt idx="2">
                  <c:v>24484</c:v>
                </c:pt>
                <c:pt idx="3">
                  <c:v>86874</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8A29-4A30-AC46-69CD52F25EF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844538837981573"/>
          <c:h val="0.132693937391107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2022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7400</c:v>
                </c:pt>
                <c:pt idx="2">
                  <c:v>1296</c:v>
                </c:pt>
                <c:pt idx="3">
                  <c:v>82457</c:v>
                </c:pt>
                <c:pt idx="4">
                  <c:v>122220</c:v>
                </c:pt>
                <c:pt idx="5">
                  <c:v>146453</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3534.0500000000011</c:v>
                </c:pt>
                <c:pt idx="2">
                  <c:v>27132.530000000002</c:v>
                </c:pt>
                <c:pt idx="3">
                  <c:v>136224</c:v>
                </c:pt>
                <c:pt idx="4">
                  <c:v>96461</c:v>
                </c:pt>
                <c:pt idx="5">
                  <c:v>72228</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Analysis!$C$317</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Analysis!$C$318</c:f>
              <c:numCache>
                <c:formatCode>_(* #,##0_);_(* \(#,##0\);_(* "-"??_);_(@_)</c:formatCode>
                <c:ptCount val="1"/>
                <c:pt idx="0">
                  <c:v>148</c:v>
                </c:pt>
              </c:numCache>
            </c:numRef>
          </c:val>
          <c:extLst>
            <c:ext xmlns:c16="http://schemas.microsoft.com/office/drawing/2014/chart" uri="{C3380CC4-5D6E-409C-BE32-E72D297353CC}">
              <c16:uniqueId val="{00000001-8969-4196-B217-7CF53BAA8E96}"/>
            </c:ext>
          </c:extLst>
        </c:ser>
        <c:ser>
          <c:idx val="1"/>
          <c:order val="1"/>
          <c:tx>
            <c:strRef>
              <c:f>Analysis!$D$317</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Analysis!$D$318</c:f>
              <c:numCache>
                <c:formatCode>_(* #,##0_);_(* \(#,##0\);_(* "-"??_);_(@_)</c:formatCode>
                <c:ptCount val="1"/>
                <c:pt idx="0">
                  <c:v>12</c:v>
                </c:pt>
              </c:numCache>
            </c:numRef>
          </c:val>
          <c:extLst>
            <c:ext xmlns:c16="http://schemas.microsoft.com/office/drawing/2014/chart" uri="{C3380CC4-5D6E-409C-BE32-E72D297353CC}">
              <c16:uniqueId val="{00000002-8969-4196-B217-7CF53BAA8E96}"/>
            </c:ext>
          </c:extLst>
        </c:ser>
        <c:ser>
          <c:idx val="2"/>
          <c:order val="2"/>
          <c:tx>
            <c:strRef>
              <c:f>Analysis!$E$317</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Analysis!$B$318</c:f>
              <c:strCache>
                <c:ptCount val="1"/>
                <c:pt idx="0">
                  <c:v>Rakhine</c:v>
                </c:pt>
              </c:strCache>
            </c:strRef>
          </c:cat>
          <c:val>
            <c:numRef>
              <c:f>Analysis!$E$318</c:f>
              <c:numCache>
                <c:formatCode>_(* #,##0_);_(* \(#,##0\);_(* "-"??_);_(@_)</c:formatCode>
                <c:ptCount val="1"/>
                <c:pt idx="0">
                  <c:v>61</c:v>
                </c:pt>
              </c:numCache>
            </c:numRef>
          </c:val>
          <c:extLst>
            <c:ext xmlns:c16="http://schemas.microsoft.com/office/drawing/2014/chart" uri="{C3380CC4-5D6E-409C-BE32-E72D297353CC}">
              <c16:uniqueId val="{00000003-8969-4196-B217-7CF53BAA8E96}"/>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26581</c:v>
                </c:pt>
                <c:pt idx="1">
                  <c:v>10302</c:v>
                </c:pt>
                <c:pt idx="2">
                  <c:v>19676</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88764</c:v>
                </c:pt>
                <c:pt idx="1">
                  <c:v>12779</c:v>
                </c:pt>
                <c:pt idx="2">
                  <c:v>14927.5</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0.76400000000000001</c:v>
                </c:pt>
                <c:pt idx="1">
                  <c:v>0.88875000000000004</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0.23599999999999999</c:v>
                </c:pt>
                <c:pt idx="1">
                  <c:v>0.11124999999999996</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4089375539528248E-2"/>
                  <c:y val="-0.1246465396589644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88764</c:v>
                </c:pt>
                <c:pt idx="1">
                  <c:v>5736</c:v>
                </c:pt>
                <c:pt idx="2">
                  <c:v>6909</c:v>
                </c:pt>
                <c:pt idx="3">
                  <c:v>7002</c:v>
                </c:pt>
                <c:pt idx="4">
                  <c:v>6934</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61381571255811929"/>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0.99428571428571444</c:v>
                </c:pt>
                <c:pt idx="1">
                  <c:v>0.96750000000000003</c:v>
                </c:pt>
                <c:pt idx="2">
                  <c:v>0.79374999999999996</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5.7142857142855608E-3</c:v>
                </c:pt>
                <c:pt idx="1">
                  <c:v>3.2499999999999973E-2</c:v>
                </c:pt>
                <c:pt idx="2">
                  <c:v>0.20625000000000004</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1029</c:v>
                </c:pt>
                <c:pt idx="1">
                  <c:v>7999</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20676582093926E-3"/>
          <c:y val="0.7573320760585045"/>
          <c:w val="0.97215660542432192"/>
          <c:h val="0.213553962650837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26581</c:v>
                </c:pt>
                <c:pt idx="1">
                  <c:v>10302</c:v>
                </c:pt>
                <c:pt idx="2">
                  <c:v>19676</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88764</c:v>
                </c:pt>
                <c:pt idx="1">
                  <c:v>12779</c:v>
                </c:pt>
                <c:pt idx="2">
                  <c:v>14927.5</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and learn-ing spaces 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tx>
            <c:strRef>
              <c:f>Analysis!$L$314</c:f>
              <c:strCache>
                <c:ptCount val="1"/>
                <c:pt idx="0">
                  <c:v>Number of women, men, girls and boys accessing WASH services in temporary health facilities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Analysis!$N$314:$O$314</c:f>
              <c:numCache>
                <c:formatCode>General</c:formatCode>
                <c:ptCount val="2"/>
                <c:pt idx="0">
                  <c:v>600</c:v>
                </c:pt>
                <c:pt idx="1">
                  <c:v>5960.4299999999994</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Q1-2022</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1323338431364431E-2"/>
          <c:y val="0.25471818012288833"/>
          <c:w val="0.41781983735604472"/>
          <c:h val="0.49331934355136947"/>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2.7637889208252938E-2"/>
                  <c:y val="0.1395613957383874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c:v>
                </c:pt>
                <c:pt idx="1">
                  <c:v>20</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Q1-2022</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0497386249105503E-2"/>
          <c:y val="0.24180015521951831"/>
          <c:w val="0.42021292803110644"/>
          <c:h val="0.4961450093990936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3.2187853613290282E-2"/>
                  <c:y val="0.1156115635857081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c:v>
                </c:pt>
                <c:pt idx="1">
                  <c:v>20</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Analysis!$J$46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Analysis!$F$47</c:f>
              <c:strCache>
                <c:ptCount val="1"/>
                <c:pt idx="0">
                  <c:v>Central Rakhine</c:v>
                </c:pt>
              </c:strCache>
            </c:strRef>
          </c:cat>
          <c:val>
            <c:numRef>
              <c:f>Analysis!$J$47</c:f>
              <c:numCache>
                <c:formatCode>0%</c:formatCode>
                <c:ptCount val="1"/>
                <c:pt idx="0">
                  <c:v>1</c:v>
                </c:pt>
              </c:numCache>
            </c:numRef>
          </c:val>
          <c:extLst>
            <c:ext xmlns:c16="http://schemas.microsoft.com/office/drawing/2014/chart" uri="{C3380CC4-5D6E-409C-BE32-E72D297353CC}">
              <c16:uniqueId val="{00000000-1E36-40E1-814F-65F10EF1B9EE}"/>
            </c:ext>
          </c:extLst>
        </c:ser>
        <c:ser>
          <c:idx val="1"/>
          <c:order val="1"/>
          <c:tx>
            <c:strRef>
              <c:f>Analysis!$K$46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Analysis!$F$47</c:f>
              <c:strCache>
                <c:ptCount val="1"/>
                <c:pt idx="0">
                  <c:v>Central Rakhine</c:v>
                </c:pt>
              </c:strCache>
            </c:strRef>
          </c:cat>
          <c:val>
            <c:numRef>
              <c:f>Analysis!$K$47</c:f>
              <c:numCache>
                <c:formatCode>0%</c:formatCode>
                <c:ptCount val="1"/>
                <c:pt idx="0">
                  <c:v>0</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Analysis!$Z$46</c:f>
              <c:strCache>
                <c:ptCount val="1"/>
                <c:pt idx="0">
                  <c:v>% Passed</c:v>
                </c:pt>
              </c:strCache>
            </c:strRef>
          </c:tx>
          <c:spPr>
            <a:solidFill>
              <a:srgbClr val="0070C0"/>
            </a:solidFill>
            <a:ln>
              <a:noFill/>
            </a:ln>
            <a:effectLst/>
          </c:spPr>
          <c:invertIfNegative val="0"/>
          <c:dLbls>
            <c:dLbl>
              <c:idx val="0"/>
              <c:layout>
                <c:manualLayout>
                  <c:x val="6.8832184525233894E-3"/>
                  <c:y val="-5.303297755135302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1883758144222302"/>
                      <c:h val="0.35233522205867313"/>
                    </c:manualLayout>
                  </c15:layout>
                </c:ext>
                <c:ext xmlns:c16="http://schemas.microsoft.com/office/drawing/2014/chart" uri="{C3380CC4-5D6E-409C-BE32-E72D297353CC}">
                  <c16:uniqueId val="{00000000-EFD8-4D48-8F3C-99D4E359D3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Analysis!$V$47</c:f>
              <c:strCache>
                <c:ptCount val="1"/>
                <c:pt idx="0">
                  <c:v>Central Rakhine</c:v>
                </c:pt>
              </c:strCache>
            </c:strRef>
          </c:cat>
          <c:val>
            <c:numRef>
              <c:f>Analysis!$Z$47</c:f>
              <c:numCache>
                <c:formatCode>0%</c:formatCode>
                <c:ptCount val="1"/>
                <c:pt idx="0">
                  <c:v>0.99</c:v>
                </c:pt>
              </c:numCache>
            </c:numRef>
          </c:val>
          <c:extLst>
            <c:ext xmlns:c16="http://schemas.microsoft.com/office/drawing/2014/chart" uri="{C3380CC4-5D6E-409C-BE32-E72D297353CC}">
              <c16:uniqueId val="{00000000-2561-4177-8BEC-CDB4EA7272E2}"/>
            </c:ext>
          </c:extLst>
        </c:ser>
        <c:ser>
          <c:idx val="1"/>
          <c:order val="1"/>
          <c:tx>
            <c:strRef>
              <c:f>Analysis!$AA$46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Analysis!$V$47</c:f>
              <c:strCache>
                <c:ptCount val="1"/>
                <c:pt idx="0">
                  <c:v>Central Rakhine</c:v>
                </c:pt>
              </c:strCache>
            </c:strRef>
          </c:cat>
          <c:val>
            <c:numRef>
              <c:f>Analysis!$AA$47</c:f>
              <c:numCache>
                <c:formatCode>0%</c:formatCode>
                <c:ptCount val="1"/>
                <c:pt idx="0">
                  <c:v>1.0000000000000009E-2</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1206</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131</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53</c:v>
                </c:pt>
                <c:pt idx="1">
                  <c:v>146</c:v>
                </c:pt>
                <c:pt idx="2">
                  <c:v>1225</c:v>
                </c:pt>
                <c:pt idx="3">
                  <c:v>4344</c:v>
                </c:pt>
              </c:numCache>
            </c:numRef>
          </c:val>
          <c:extLst>
            <c:ext xmlns:c16="http://schemas.microsoft.com/office/drawing/2014/chart" uri="{C3380CC4-5D6E-409C-BE32-E72D297353CC}">
              <c16:uniqueId val="{00000001-0AF5-4655-A39B-D841DD8CDB0E}"/>
            </c:ext>
          </c:extLst>
        </c:ser>
        <c:ser>
          <c:idx val="1"/>
          <c:order val="1"/>
          <c:tx>
            <c:strRef>
              <c:f>Analysis!$R$121</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1011</c:v>
                </c:pt>
                <c:pt idx="3">
                  <c:v>4001</c:v>
                </c:pt>
              </c:numCache>
            </c:numRef>
          </c:val>
          <c:extLst>
            <c:ext xmlns:c16="http://schemas.microsoft.com/office/drawing/2014/chart" uri="{C3380CC4-5D6E-409C-BE32-E72D297353CC}">
              <c16:uniqueId val="{00000002-0AF5-4655-A39B-D841DD8CDB0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5748</c:v>
                </c:pt>
                <c:pt idx="1">
                  <c:v>811</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1011</c:v>
                </c:pt>
                <c:pt idx="3">
                  <c:v>4001</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214</c:v>
                </c:pt>
                <c:pt idx="3">
                  <c:v>343</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Analysis!$L$353:$L$354</c:f>
              <c:strCache>
                <c:ptCount val="1"/>
                <c:pt idx="0">
                  <c:v>2022_Q1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Analysis!$K$355:$K$358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Analysis!$L$355:$L$358</c:f>
              <c:numCache>
                <c:formatCode>0%</c:formatCode>
                <c:ptCount val="4"/>
                <c:pt idx="0">
                  <c:v>0.96142857142857152</c:v>
                </c:pt>
                <c:pt idx="1">
                  <c:v>0.97428571428571431</c:v>
                </c:pt>
                <c:pt idx="2">
                  <c:v>0.93285714285714294</c:v>
                </c:pt>
                <c:pt idx="3">
                  <c:v>0.96714285714285708</c:v>
                </c:pt>
              </c:numCache>
            </c:numRef>
          </c:val>
          <c:extLst>
            <c:ext xmlns:c16="http://schemas.microsoft.com/office/drawing/2014/chart" uri="{C3380CC4-5D6E-409C-BE32-E72D297353CC}">
              <c16:uniqueId val="{00000000-1CB0-4432-AF45-FEC7FFD614CC}"/>
            </c:ext>
          </c:extLst>
        </c:ser>
        <c:dLbls>
          <c:showLegendKey val="0"/>
          <c:showVal val="0"/>
          <c:showCatName val="0"/>
          <c:showSerName val="0"/>
          <c:showPercent val="0"/>
          <c:showBubbleSize val="0"/>
        </c:dLbls>
        <c:gapWidth val="10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a:t>
            </a:r>
            <a:r>
              <a:rPr lang="en-US" sz="1400" baseline="0"/>
              <a:t> adult l</a:t>
            </a:r>
            <a:r>
              <a:rPr lang="en-US" sz="1400"/>
              <a:t>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11.351063829787234</c:v>
                </c:pt>
                <c:pt idx="1">
                  <c:v>4.5482866043613708</c:v>
                </c:pt>
                <c:pt idx="2">
                  <c:v>24.217606330365975</c:v>
                </c:pt>
                <c:pt idx="3">
                  <c:v>21.713071732066982</c:v>
                </c:pt>
              </c:numCache>
            </c:numRef>
          </c:val>
          <c:extLst>
            <c:ext xmlns:c16="http://schemas.microsoft.com/office/drawing/2014/chart" uri="{C3380CC4-5D6E-409C-BE32-E72D297353CC}">
              <c16:uniqueId val="{00000000-9662-4B42-9662-25B5CFD36952}"/>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Analysis!$Q$314</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Analysis!$S$313:$T$313</c:f>
              <c:strCache>
                <c:ptCount val="2"/>
                <c:pt idx="0">
                  <c:v>Reached</c:v>
                </c:pt>
                <c:pt idx="1">
                  <c:v>Not Reached</c:v>
                </c:pt>
              </c:strCache>
            </c:strRef>
          </c:cat>
          <c:val>
            <c:numRef>
              <c:f>Analysis!$S$314:$T$314</c:f>
              <c:numCache>
                <c:formatCode>General</c:formatCode>
                <c:ptCount val="2"/>
                <c:pt idx="0">
                  <c:v>7400</c:v>
                </c:pt>
                <c:pt idx="1">
                  <c:v>3534.0500000000011</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2022-Q1(US$)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8-4FE6-864B-3A0B970911BA}"/>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818998.23351778474</c:v>
                </c:pt>
              </c:numCache>
            </c:numRef>
          </c:val>
          <c:extLst>
            <c:ext xmlns:c16="http://schemas.microsoft.com/office/drawing/2014/chart" uri="{C3380CC4-5D6E-409C-BE32-E72D297353CC}">
              <c16:uniqueId val="{00000001-CE28-4FE6-864B-3A0B970911BA}"/>
            </c:ext>
          </c:extLst>
        </c:ser>
        <c:ser>
          <c:idx val="1"/>
          <c:order val="1"/>
          <c:tx>
            <c:strRef>
              <c:f>'[5]Rakhine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28-4FE6-864B-3A0B970911BA}"/>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741514.26896380901</c:v>
                </c:pt>
              </c:numCache>
            </c:numRef>
          </c:val>
          <c:extLst>
            <c:ext xmlns:c16="http://schemas.microsoft.com/office/drawing/2014/chart" uri="{C3380CC4-5D6E-409C-BE32-E72D297353CC}">
              <c16:uniqueId val="{00000003-CE28-4FE6-864B-3A0B970911BA}"/>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51194172.007969268</c:v>
                </c:pt>
              </c:numCache>
            </c:numRef>
          </c:val>
          <c:extLst>
            <c:ext xmlns:c16="http://schemas.microsoft.com/office/drawing/2014/chart" uri="{C3380CC4-5D6E-409C-BE32-E72D297353CC}">
              <c16:uniqueId val="{00000004-CE28-4FE6-864B-3A0B970911BA}"/>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0.77264943577287093</c:v>
              </c:pt>
            </c:numLit>
          </c:val>
          <c:extLst>
            <c:ext xmlns:c16="http://schemas.microsoft.com/office/drawing/2014/chart" uri="{C3380CC4-5D6E-409C-BE32-E72D297353CC}">
              <c16:uniqueId val="{00000000-206E-4CFF-B32A-E23EB5281D3D}"/>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5.512594428940816E-2</c:v>
              </c:pt>
            </c:numLit>
          </c:val>
          <c:extLst>
            <c:ext xmlns:c16="http://schemas.microsoft.com/office/drawing/2014/chart" uri="{C3380CC4-5D6E-409C-BE32-E72D297353CC}">
              <c16:uniqueId val="{00000001-206E-4CFF-B32A-E23EB5281D3D}"/>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0.17222461993772087</c:v>
              </c:pt>
            </c:numLit>
          </c:val>
          <c:extLst>
            <c:ext xmlns:c16="http://schemas.microsoft.com/office/drawing/2014/chart" uri="{C3380CC4-5D6E-409C-BE32-E72D297353CC}">
              <c16:uniqueId val="{00000002-206E-4CFF-B32A-E23EB5281D3D}"/>
            </c:ext>
          </c:extLst>
        </c:ser>
        <c:dLbls>
          <c:dLblPos val="ctr"/>
          <c:showLegendKey val="0"/>
          <c:showVal val="1"/>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[20220430_Myanmar_WASH_4W_2022_Q1_Rakhine_camp_Consolidate.xlsx]By Camps!PivotTable1</c:name>
    <c:fmtId val="4"/>
  </c:pivotSource>
  <c:chart>
    <c:title>
      <c:tx>
        <c:strRef>
          <c:f>'By Camps'!$B$34</c:f>
          <c:strCache>
            <c:ptCount val="1"/>
            <c:pt idx="0">
              <c:v>(Multiple Items)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Dashboard'!$L$5:$M$47</c:f>
              <c:multiLvlStrCache>
                <c:ptCount val="21"/>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Dashboard'!$N$5:$N$47</c:f>
              <c:numCache>
                <c:formatCode>General</c:formatCode>
                <c:ptCount val="21"/>
                <c:pt idx="0">
                  <c:v>5133</c:v>
                </c:pt>
                <c:pt idx="1">
                  <c:v>2139</c:v>
                </c:pt>
                <c:pt idx="2">
                  <c:v>4875</c:v>
                </c:pt>
                <c:pt idx="3">
                  <c:v>7033</c:v>
                </c:pt>
                <c:pt idx="4">
                  <c:v>11056</c:v>
                </c:pt>
                <c:pt idx="5">
                  <c:v>1067</c:v>
                </c:pt>
                <c:pt idx="6">
                  <c:v>6674</c:v>
                </c:pt>
                <c:pt idx="7">
                  <c:v>0</c:v>
                </c:pt>
                <c:pt idx="8">
                  <c:v>5024</c:v>
                </c:pt>
                <c:pt idx="9">
                  <c:v>5137</c:v>
                </c:pt>
                <c:pt idx="10">
                  <c:v>0</c:v>
                </c:pt>
                <c:pt idx="11">
                  <c:v>0</c:v>
                </c:pt>
                <c:pt idx="12">
                  <c:v>0</c:v>
                </c:pt>
                <c:pt idx="13">
                  <c:v>0</c:v>
                </c:pt>
                <c:pt idx="14">
                  <c:v>3668</c:v>
                </c:pt>
                <c:pt idx="15">
                  <c:v>0</c:v>
                </c:pt>
                <c:pt idx="16">
                  <c:v>0</c:v>
                </c:pt>
                <c:pt idx="17">
                  <c:v>0</c:v>
                </c:pt>
                <c:pt idx="18">
                  <c:v>0</c:v>
                </c:pt>
                <c:pt idx="19">
                  <c:v>0</c:v>
                </c:pt>
                <c:pt idx="20">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Dashboard'!$L$5:$M$47</c:f>
              <c:multiLvlStrCache>
                <c:ptCount val="21"/>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Dashboard'!$O$5:$O$47</c:f>
              <c:numCache>
                <c:formatCode>General</c:formatCode>
                <c:ptCount val="21"/>
                <c:pt idx="0">
                  <c:v>3960</c:v>
                </c:pt>
                <c:pt idx="1">
                  <c:v>2139</c:v>
                </c:pt>
                <c:pt idx="2">
                  <c:v>4875</c:v>
                </c:pt>
                <c:pt idx="3">
                  <c:v>5540</c:v>
                </c:pt>
                <c:pt idx="4">
                  <c:v>9068</c:v>
                </c:pt>
                <c:pt idx="5">
                  <c:v>1067</c:v>
                </c:pt>
                <c:pt idx="6">
                  <c:v>4669</c:v>
                </c:pt>
                <c:pt idx="7">
                  <c:v>3486</c:v>
                </c:pt>
                <c:pt idx="8">
                  <c:v>3040</c:v>
                </c:pt>
                <c:pt idx="9">
                  <c:v>3720</c:v>
                </c:pt>
                <c:pt idx="10">
                  <c:v>2819</c:v>
                </c:pt>
                <c:pt idx="11">
                  <c:v>11440</c:v>
                </c:pt>
                <c:pt idx="12">
                  <c:v>11478</c:v>
                </c:pt>
                <c:pt idx="13">
                  <c:v>8891</c:v>
                </c:pt>
                <c:pt idx="14">
                  <c:v>2516</c:v>
                </c:pt>
                <c:pt idx="15">
                  <c:v>2920</c:v>
                </c:pt>
                <c:pt idx="16">
                  <c:v>4386</c:v>
                </c:pt>
                <c:pt idx="17">
                  <c:v>4958</c:v>
                </c:pt>
                <c:pt idx="18">
                  <c:v>2186</c:v>
                </c:pt>
                <c:pt idx="19">
                  <c:v>2248</c:v>
                </c:pt>
                <c:pt idx="20">
                  <c:v>2446</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Dashboard'!$L$5:$M$47</c:f>
              <c:multiLvlStrCache>
                <c:ptCount val="21"/>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Dashboard'!$P$5:$P$47</c:f>
              <c:numCache>
                <c:formatCode>General</c:formatCode>
                <c:ptCount val="21"/>
                <c:pt idx="0">
                  <c:v>5133</c:v>
                </c:pt>
                <c:pt idx="1">
                  <c:v>2139</c:v>
                </c:pt>
                <c:pt idx="2">
                  <c:v>4875</c:v>
                </c:pt>
                <c:pt idx="3">
                  <c:v>7033</c:v>
                </c:pt>
                <c:pt idx="4">
                  <c:v>11056</c:v>
                </c:pt>
                <c:pt idx="5">
                  <c:v>1067</c:v>
                </c:pt>
                <c:pt idx="6">
                  <c:v>6674</c:v>
                </c:pt>
                <c:pt idx="7">
                  <c:v>3486</c:v>
                </c:pt>
                <c:pt idx="8">
                  <c:v>5024</c:v>
                </c:pt>
                <c:pt idx="9">
                  <c:v>5137</c:v>
                </c:pt>
                <c:pt idx="10">
                  <c:v>3095</c:v>
                </c:pt>
                <c:pt idx="11">
                  <c:v>13302</c:v>
                </c:pt>
                <c:pt idx="12">
                  <c:v>11478</c:v>
                </c:pt>
                <c:pt idx="13">
                  <c:v>11564</c:v>
                </c:pt>
                <c:pt idx="14">
                  <c:v>2516</c:v>
                </c:pt>
                <c:pt idx="15">
                  <c:v>0</c:v>
                </c:pt>
                <c:pt idx="16">
                  <c:v>6016</c:v>
                </c:pt>
                <c:pt idx="17">
                  <c:v>5950</c:v>
                </c:pt>
                <c:pt idx="18">
                  <c:v>2186</c:v>
                </c:pt>
                <c:pt idx="19">
                  <c:v>2248</c:v>
                </c:pt>
                <c:pt idx="20">
                  <c:v>2446</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[20220430_Myanmar_WASH_4W_2022_Q1_Rakhine_camp_Consolidate.xlsx]Analysis!R_water1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224.85000000000005</c:v>
                </c:pt>
              </c:numCache>
            </c:numRef>
          </c:val>
          <c:extLst>
            <c:ext xmlns:c16="http://schemas.microsoft.com/office/drawing/2014/chart" uri="{C3380CC4-5D6E-409C-BE32-E72D297353CC}">
              <c16:uniqueId val="{00000001-0FDF-4D02-B3A1-083EBD25B4A7}"/>
            </c:ext>
          </c:extLst>
        </c:ser>
        <c:ser>
          <c:idx val="1"/>
          <c:order val="1"/>
          <c:tx>
            <c:strRef>
              <c:f>Analysis!$D$30</c:f>
              <c:strCache>
                <c:ptCount val="1"/>
                <c:pt idx="0">
                  <c:v>Gap</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6.9260000000000002</c:v>
                </c:pt>
              </c:numCache>
            </c:numRef>
          </c:val>
          <c:extLst>
            <c:ext xmlns:c16="http://schemas.microsoft.com/office/drawing/2014/chart" uri="{C3380CC4-5D6E-409C-BE32-E72D297353CC}">
              <c16:uniqueId val="{00000002-0FDF-4D02-B3A1-083EBD25B4A7}"/>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Q1-2022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20</c:v>
                </c:pt>
                <c:pt idx="1">
                  <c:v>1</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5748</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20</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5748</c:v>
                </c:pt>
                <c:pt idx="1">
                  <c:v>811</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26" Type="http://schemas.openxmlformats.org/officeDocument/2006/relationships/chart" Target="../charts/chart29.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3" Type="http://schemas.openxmlformats.org/officeDocument/2006/relationships/chart" Target="../charts/chart32.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 Type="http://schemas.openxmlformats.org/officeDocument/2006/relationships/hyperlink" Target="#Analysis!A270"/><Relationship Id="rId16" Type="http://schemas.openxmlformats.org/officeDocument/2006/relationships/chart" Target="../charts/chart45.xml"/><Relationship Id="rId20" Type="http://schemas.openxmlformats.org/officeDocument/2006/relationships/chart" Target="../charts/chart49.xml"/><Relationship Id="rId1" Type="http://schemas.openxmlformats.org/officeDocument/2006/relationships/chart" Target="../charts/chart31.xml"/><Relationship Id="rId6" Type="http://schemas.openxmlformats.org/officeDocument/2006/relationships/chart" Target="../charts/chart35.xml"/><Relationship Id="rId11" Type="http://schemas.openxmlformats.org/officeDocument/2006/relationships/chart" Target="../charts/chart40.xml"/><Relationship Id="rId24" Type="http://schemas.openxmlformats.org/officeDocument/2006/relationships/chart" Target="../charts/chart53.xml"/><Relationship Id="rId5" Type="http://schemas.openxmlformats.org/officeDocument/2006/relationships/chart" Target="../charts/chart34.xml"/><Relationship Id="rId15" Type="http://schemas.openxmlformats.org/officeDocument/2006/relationships/chart" Target="../charts/chart44.xml"/><Relationship Id="rId23" Type="http://schemas.openxmlformats.org/officeDocument/2006/relationships/chart" Target="../charts/chart52.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oneCellAnchor>
    <xdr:from>
      <xdr:col>1</xdr:col>
      <xdr:colOff>408186</xdr:colOff>
      <xdr:row>67</xdr:row>
      <xdr:rowOff>70841</xdr:rowOff>
    </xdr:from>
    <xdr:ext cx="7246792" cy="2009775"/>
    <xdr:pic>
      <xdr:nvPicPr>
        <xdr:cNvPr id="2" name="Picture 1">
          <a:extLst>
            <a:ext uri="{FF2B5EF4-FFF2-40B4-BE49-F238E27FC236}">
              <a16:creationId xmlns:a16="http://schemas.microsoft.com/office/drawing/2014/main" id="{B272F6AA-81AE-4BFB-82C9-0C31EA2C8F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3655" y="41931232"/>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414141</xdr:colOff>
      <xdr:row>33</xdr:row>
      <xdr:rowOff>169334</xdr:rowOff>
    </xdr:from>
    <xdr:to>
      <xdr:col>14</xdr:col>
      <xdr:colOff>502707</xdr:colOff>
      <xdr:row>37</xdr:row>
      <xdr:rowOff>1279071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226786</xdr:colOff>
      <xdr:row>14</xdr:row>
      <xdr:rowOff>164985</xdr:rowOff>
    </xdr:from>
    <xdr:to>
      <xdr:col>24</xdr:col>
      <xdr:colOff>1362528</xdr:colOff>
      <xdr:row>25</xdr:row>
      <xdr:rowOff>34018</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223004</xdr:colOff>
      <xdr:row>32</xdr:row>
      <xdr:rowOff>116415</xdr:rowOff>
    </xdr:from>
    <xdr:to>
      <xdr:col>25</xdr:col>
      <xdr:colOff>762001</xdr:colOff>
      <xdr:row>38</xdr:row>
      <xdr:rowOff>69396</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385537</xdr:colOff>
      <xdr:row>36</xdr:row>
      <xdr:rowOff>147410</xdr:rowOff>
    </xdr:from>
    <xdr:to>
      <xdr:col>27</xdr:col>
      <xdr:colOff>570005</xdr:colOff>
      <xdr:row>36</xdr:row>
      <xdr:rowOff>475634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4369376" y="16396606"/>
          <a:ext cx="887504"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+31,047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154493</xdr:colOff>
      <xdr:row>187</xdr:row>
      <xdr:rowOff>3570</xdr:rowOff>
    </xdr:from>
    <xdr:to>
      <xdr:col>15</xdr:col>
      <xdr:colOff>238125</xdr:colOff>
      <xdr:row>200</xdr:row>
      <xdr:rowOff>163907</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338137</xdr:colOff>
      <xdr:row>24</xdr:row>
      <xdr:rowOff>38100</xdr:rowOff>
    </xdr:from>
    <xdr:to>
      <xdr:col>6</xdr:col>
      <xdr:colOff>947737</xdr:colOff>
      <xdr:row>37</xdr:row>
      <xdr:rowOff>28575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418280</xdr:colOff>
      <xdr:row>60</xdr:row>
      <xdr:rowOff>190501</xdr:rowOff>
    </xdr:from>
    <xdr:to>
      <xdr:col>9</xdr:col>
      <xdr:colOff>15551</xdr:colOff>
      <xdr:row>75</xdr:row>
      <xdr:rowOff>42789</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42415</xdr:colOff>
      <xdr:row>96</xdr:row>
      <xdr:rowOff>92431</xdr:rowOff>
    </xdr:from>
    <xdr:to>
      <xdr:col>14</xdr:col>
      <xdr:colOff>674687</xdr:colOff>
      <xdr:row>105</xdr:row>
      <xdr:rowOff>51674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1118629" y="19323860"/>
          <a:ext cx="6274701" cy="1864243"/>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318</xdr:row>
      <xdr:rowOff>198114</xdr:rowOff>
    </xdr:from>
    <xdr:to>
      <xdr:col>5</xdr:col>
      <xdr:colOff>957716</xdr:colOff>
      <xdr:row>329</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855302</xdr:colOff>
      <xdr:row>281</xdr:row>
      <xdr:rowOff>160627</xdr:rowOff>
    </xdr:from>
    <xdr:to>
      <xdr:col>14</xdr:col>
      <xdr:colOff>298459</xdr:colOff>
      <xdr:row>292</xdr:row>
      <xdr:rowOff>128587</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5952427" y="57529702"/>
              <a:ext cx="1825768" cy="17157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796927</xdr:colOff>
      <xdr:row>47</xdr:row>
      <xdr:rowOff>38391</xdr:rowOff>
    </xdr:from>
    <xdr:to>
      <xdr:col>8</xdr:col>
      <xdr:colOff>793750</xdr:colOff>
      <xdr:row>57</xdr:row>
      <xdr:rowOff>120196</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456745</xdr:colOff>
      <xdr:row>48</xdr:row>
      <xdr:rowOff>130888</xdr:rowOff>
    </xdr:from>
    <xdr:to>
      <xdr:col>11</xdr:col>
      <xdr:colOff>1461309</xdr:colOff>
      <xdr:row>59</xdr:row>
      <xdr:rowOff>44223</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387998</xdr:colOff>
      <xdr:row>47</xdr:row>
      <xdr:rowOff>202358</xdr:rowOff>
    </xdr:from>
    <xdr:to>
      <xdr:col>22</xdr:col>
      <xdr:colOff>715541</xdr:colOff>
      <xdr:row>58</xdr:row>
      <xdr:rowOff>0</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995361</xdr:colOff>
      <xdr:row>47</xdr:row>
      <xdr:rowOff>189529</xdr:rowOff>
    </xdr:from>
    <xdr:to>
      <xdr:col>28</xdr:col>
      <xdr:colOff>15551</xdr:colOff>
      <xdr:row>58</xdr:row>
      <xdr:rowOff>0</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928686</xdr:colOff>
      <xdr:row>110</xdr:row>
      <xdr:rowOff>95251</xdr:rowOff>
    </xdr:from>
    <xdr:to>
      <xdr:col>8</xdr:col>
      <xdr:colOff>866773</xdr:colOff>
      <xdr:row>125</xdr:row>
      <xdr:rowOff>20638</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137</xdr:row>
      <xdr:rowOff>103188</xdr:rowOff>
    </xdr:from>
    <xdr:to>
      <xdr:col>9</xdr:col>
      <xdr:colOff>460374</xdr:colOff>
      <xdr:row>151</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14</xdr:col>
      <xdr:colOff>262164</xdr:colOff>
      <xdr:row>282</xdr:row>
      <xdr:rowOff>31750</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17</xdr:col>
      <xdr:colOff>703387</xdr:colOff>
      <xdr:row>293</xdr:row>
      <xdr:rowOff>49212</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349</xdr:row>
      <xdr:rowOff>11112</xdr:rowOff>
    </xdr:from>
    <xdr:to>
      <xdr:col>9</xdr:col>
      <xdr:colOff>455612</xdr:colOff>
      <xdr:row>363</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331917</xdr:colOff>
      <xdr:row>230</xdr:row>
      <xdr:rowOff>102862</xdr:rowOff>
    </xdr:from>
    <xdr:to>
      <xdr:col>15</xdr:col>
      <xdr:colOff>1641897</xdr:colOff>
      <xdr:row>243</xdr:row>
      <xdr:rowOff>127900</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485317</xdr:colOff>
      <xdr:row>316</xdr:row>
      <xdr:rowOff>18596</xdr:rowOff>
    </xdr:from>
    <xdr:to>
      <xdr:col>15</xdr:col>
      <xdr:colOff>254000</xdr:colOff>
      <xdr:row>343</xdr:row>
      <xdr:rowOff>99785</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321469</xdr:colOff>
      <xdr:row>96</xdr:row>
      <xdr:rowOff>120651</xdr:rowOff>
    </xdr:from>
    <xdr:to>
      <xdr:col>24</xdr:col>
      <xdr:colOff>170656</xdr:colOff>
      <xdr:row>109</xdr:row>
      <xdr:rowOff>165101</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29822</xdr:colOff>
      <xdr:row>115</xdr:row>
      <xdr:rowOff>144122</xdr:rowOff>
    </xdr:from>
    <xdr:to>
      <xdr:col>13</xdr:col>
      <xdr:colOff>88218</xdr:colOff>
      <xdr:row>129</xdr:row>
      <xdr:rowOff>156822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432707</xdr:colOff>
      <xdr:row>316</xdr:row>
      <xdr:rowOff>39008</xdr:rowOff>
    </xdr:from>
    <xdr:to>
      <xdr:col>22</xdr:col>
      <xdr:colOff>18143</xdr:colOff>
      <xdr:row>343</xdr:row>
      <xdr:rowOff>108857</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2022_Q1</a:t>
          </a:fld>
          <a:endParaRPr lang="en-US" sz="16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86125</xdr:colOff>
      <xdr:row>55</xdr:row>
      <xdr:rowOff>16493</xdr:rowOff>
    </xdr:from>
    <xdr:to>
      <xdr:col>7</xdr:col>
      <xdr:colOff>854393</xdr:colOff>
      <xdr:row>63</xdr:row>
      <xdr:rowOff>230909</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354020"/>
          <a:ext cx="6408160" cy="1962373"/>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2061</xdr:colOff>
      <xdr:row>1</xdr:row>
      <xdr:rowOff>40967</xdr:rowOff>
    </xdr:from>
    <xdr:to>
      <xdr:col>7</xdr:col>
      <xdr:colOff>869290</xdr:colOff>
      <xdr:row>23</xdr:row>
      <xdr:rowOff>156687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88</xdr:row>
      <xdr:rowOff>25192</xdr:rowOff>
    </xdr:from>
    <xdr:to>
      <xdr:col>19</xdr:col>
      <xdr:colOff>66935</xdr:colOff>
      <xdr:row>89</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72</xdr:row>
      <xdr:rowOff>90546</xdr:rowOff>
    </xdr:from>
    <xdr:to>
      <xdr:col>8</xdr:col>
      <xdr:colOff>57728</xdr:colOff>
      <xdr:row>87</xdr:row>
      <xdr:rowOff>88033</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29767</xdr:rowOff>
    </xdr:from>
    <xdr:to>
      <xdr:col>19</xdr:col>
      <xdr:colOff>74083</xdr:colOff>
      <xdr:row>3</xdr:row>
      <xdr:rowOff>52918</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355773" y="611850"/>
          <a:ext cx="9974310" cy="361818"/>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1</xdr:col>
      <xdr:colOff>16201</xdr:colOff>
      <xdr:row>50</xdr:row>
      <xdr:rowOff>77760</xdr:rowOff>
    </xdr:from>
    <xdr:to>
      <xdr:col>8</xdr:col>
      <xdr:colOff>12909</xdr:colOff>
      <xdr:row>54</xdr:row>
      <xdr:rowOff>40583</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118620" y="9309158"/>
          <a:ext cx="6408160" cy="816317"/>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a:t>
          </a:r>
          <a:r>
            <a:rPr lang="en-US" sz="1400" b="0" i="0" u="none" strike="noStrike">
              <a:solidFill>
                <a:schemeClr val="bg1">
                  <a:lumMod val="50000"/>
                </a:schemeClr>
              </a:solidFill>
              <a:effectLst/>
              <a:latin typeface="+mn-lt"/>
              <a:ea typeface="+mn-ea"/>
              <a:cs typeface="+mn-cs"/>
            </a:rPr>
            <a:t>: AA, BMZ, CDC, ECHO, GIZ, HARP-F , MA-UK HQ , MHF, OFDA, UNICEF, ZOA, GAC, IR UK, IR USA, BHA-USAID, DFID/HARP </a:t>
          </a:r>
        </a:p>
      </xdr:txBody>
    </xdr:sp>
    <xdr:clientData/>
  </xdr:twoCellAnchor>
  <xdr:twoCellAnchor>
    <xdr:from>
      <xdr:col>9</xdr:col>
      <xdr:colOff>21647</xdr:colOff>
      <xdr:row>83</xdr:row>
      <xdr:rowOff>10240</xdr:rowOff>
    </xdr:from>
    <xdr:to>
      <xdr:col>19</xdr:col>
      <xdr:colOff>30855</xdr:colOff>
      <xdr:row>87</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300210" y="17496553"/>
          <a:ext cx="9875520" cy="8859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759</a:t>
          </a:r>
          <a:r>
            <a:rPr lang="en-US" sz="1200" b="1">
              <a:solidFill>
                <a:schemeClr val="accent2">
                  <a:lumMod val="50000"/>
                </a:schemeClr>
              </a:solidFill>
            </a:rPr>
            <a:t> latrines desludged in Q1</a:t>
          </a:r>
        </a:p>
        <a:p>
          <a:r>
            <a:rPr lang="en-US" sz="1200" b="1">
              <a:solidFill>
                <a:schemeClr val="accent2">
                  <a:lumMod val="50000"/>
                </a:schemeClr>
              </a:solidFill>
            </a:rPr>
            <a:t>2. Total </a:t>
          </a:r>
          <a:r>
            <a:rPr lang="en-US" sz="1600" b="1">
              <a:solidFill>
                <a:schemeClr val="accent2">
                  <a:lumMod val="50000"/>
                </a:schemeClr>
              </a:solidFill>
            </a:rPr>
            <a:t>645</a:t>
          </a:r>
          <a:r>
            <a:rPr lang="en-US" sz="1200" b="1">
              <a:solidFill>
                <a:schemeClr val="accent2">
                  <a:lumMod val="50000"/>
                </a:schemeClr>
              </a:solidFill>
            </a:rPr>
            <a:t> latrines</a:t>
          </a:r>
          <a:r>
            <a:rPr lang="en-US" sz="1200" b="1" baseline="0">
              <a:solidFill>
                <a:schemeClr val="accent2">
                  <a:lumMod val="50000"/>
                </a:schemeClr>
              </a:solidFill>
            </a:rPr>
            <a:t> repaired in Q1</a:t>
          </a:r>
          <a:endParaRPr lang="en-US" sz="1200" b="1">
            <a:solidFill>
              <a:schemeClr val="accent2">
                <a:lumMod val="50000"/>
              </a:schemeClr>
            </a:solidFill>
          </a:endParaRPr>
        </a:p>
        <a:p>
          <a:r>
            <a:rPr lang="en-US" sz="1200" b="1" baseline="0">
              <a:solidFill>
                <a:schemeClr val="accent2">
                  <a:lumMod val="50000"/>
                </a:schemeClr>
              </a:solidFill>
            </a:rPr>
            <a:t>2.  </a:t>
          </a:r>
          <a:r>
            <a:rPr lang="en-US" sz="1600" b="1" baseline="0">
              <a:solidFill>
                <a:schemeClr val="accent2">
                  <a:lumMod val="50000"/>
                </a:schemeClr>
              </a:solidFill>
            </a:rPr>
            <a:t>222</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90</xdr:row>
      <xdr:rowOff>65550</xdr:rowOff>
    </xdr:from>
    <xdr:to>
      <xdr:col>19</xdr:col>
      <xdr:colOff>20155</xdr:colOff>
      <xdr:row>113</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95277" y="18637593"/>
          <a:ext cx="9821222" cy="4673055"/>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xdr:col>
      <xdr:colOff>27236</xdr:colOff>
      <xdr:row>70</xdr:row>
      <xdr:rowOff>77745</xdr:rowOff>
    </xdr:from>
    <xdr:to>
      <xdr:col>8</xdr:col>
      <xdr:colOff>68223</xdr:colOff>
      <xdr:row>72</xdr:row>
      <xdr:rowOff>47794</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8259" y="14415756"/>
          <a:ext cx="6109566" cy="359708"/>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103</xdr:row>
      <xdr:rowOff>86591</xdr:rowOff>
    </xdr:from>
    <xdr:to>
      <xdr:col>8</xdr:col>
      <xdr:colOff>26554</xdr:colOff>
      <xdr:row>113</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a:t>
          </a:r>
          <a:r>
            <a:rPr lang="en-US" sz="1600" b="1">
              <a:solidFill>
                <a:schemeClr val="accent2">
                  <a:lumMod val="50000"/>
                </a:schemeClr>
              </a:solidFill>
            </a:rPr>
            <a:t>197</a:t>
          </a:r>
          <a:r>
            <a:rPr lang="en-US" sz="1400" b="1">
              <a:solidFill>
                <a:schemeClr val="accent2">
                  <a:lumMod val="50000"/>
                </a:schemeClr>
              </a:solidFill>
            </a:rPr>
            <a:t>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a:t>
          </a:r>
          <a:r>
            <a:rPr lang="en-US" sz="1600" b="1">
              <a:solidFill>
                <a:schemeClr val="accent2">
                  <a:lumMod val="50000"/>
                </a:schemeClr>
              </a:solidFill>
            </a:rPr>
            <a:t>7,400</a:t>
          </a:r>
          <a:r>
            <a:rPr lang="en-US" sz="1400" b="1">
              <a:solidFill>
                <a:schemeClr val="accent2">
                  <a:lumMod val="50000"/>
                </a:schemeClr>
              </a:solidFill>
            </a:rPr>
            <a:t> students have access to functioning school latrines</a:t>
          </a:r>
          <a:endParaRPr lang="en-US" sz="1200" b="1">
            <a:solidFill>
              <a:schemeClr val="accent2">
                <a:lumMod val="50000"/>
              </a:schemeClr>
            </a:solidFill>
          </a:endParaRPr>
        </a:p>
        <a:p>
          <a:r>
            <a:rPr lang="en-US" sz="1400" b="1">
              <a:solidFill>
                <a:schemeClr val="accent2">
                  <a:lumMod val="50000"/>
                </a:schemeClr>
              </a:solidFill>
            </a:rPr>
            <a:t>3.  </a:t>
          </a:r>
          <a:r>
            <a:rPr lang="en-US" sz="1600" b="1">
              <a:solidFill>
                <a:schemeClr val="accent2">
                  <a:lumMod val="50000"/>
                </a:schemeClr>
              </a:solidFill>
            </a:rPr>
            <a:t>600</a:t>
          </a:r>
          <a:r>
            <a:rPr lang="en-US" sz="1400" b="1">
              <a:solidFill>
                <a:schemeClr val="accent2">
                  <a:lumMod val="50000"/>
                </a:schemeClr>
              </a:solidFill>
            </a:rPr>
            <a:t> people have access to functioning latrines in temporary health care facilities</a:t>
          </a:r>
          <a:endParaRPr lang="en-US" sz="1200" b="1" baseline="0">
            <a:solidFill>
              <a:schemeClr val="accent2">
                <a:lumMod val="50000"/>
              </a:schemeClr>
            </a:solidFill>
          </a:endParaRPr>
        </a:p>
        <a:p>
          <a:r>
            <a:rPr lang="en-US" sz="1400" b="1" baseline="0">
              <a:solidFill>
                <a:schemeClr val="accent2">
                  <a:lumMod val="50000"/>
                </a:schemeClr>
              </a:solidFill>
            </a:rPr>
            <a:t>4.  </a:t>
          </a:r>
          <a:r>
            <a:rPr lang="en-US" sz="1600" b="1" baseline="0">
              <a:solidFill>
                <a:schemeClr val="accent2">
                  <a:lumMod val="50000"/>
                </a:schemeClr>
              </a:solidFill>
            </a:rPr>
            <a:t>26,581</a:t>
          </a:r>
          <a:r>
            <a:rPr lang="en-US" sz="1400" b="1" baseline="0">
              <a:solidFill>
                <a:schemeClr val="accent2">
                  <a:lumMod val="50000"/>
                </a:schemeClr>
              </a:solidFill>
            </a:rPr>
            <a:t> people have received regular hygiene promotion Regular hygiene promotion sessions are decreased to adopt social distancing and to avoid crowded people in the camps as part of covid-19 prevention but covid-19 hygiene awareness with loud speackers are continuing</a:t>
          </a:r>
          <a:r>
            <a:rPr lang="en-US" sz="1200" b="1" baseline="0">
              <a:solidFill>
                <a:schemeClr val="accent2">
                  <a:lumMod val="50000"/>
                </a:schemeClr>
              </a:solidFill>
            </a:rPr>
            <a:t>.</a:t>
          </a:r>
          <a:endParaRPr lang="en-US" sz="1200" b="1">
            <a:solidFill>
              <a:schemeClr val="accent2">
                <a:lumMod val="50000"/>
              </a:schemeClr>
            </a:solidFill>
          </a:endParaRPr>
        </a:p>
      </xdr:txBody>
    </xdr:sp>
    <xdr:clientData/>
  </xdr:twoCellAnchor>
  <xdr:twoCellAnchor>
    <xdr:from>
      <xdr:col>14</xdr:col>
      <xdr:colOff>380519</xdr:colOff>
      <xdr:row>64</xdr:row>
      <xdr:rowOff>101507</xdr:rowOff>
    </xdr:from>
    <xdr:to>
      <xdr:col>18</xdr:col>
      <xdr:colOff>878416</xdr:colOff>
      <xdr:row>70</xdr:row>
      <xdr:rowOff>127000</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71</xdr:row>
      <xdr:rowOff>81865</xdr:rowOff>
    </xdr:from>
    <xdr:to>
      <xdr:col>15</xdr:col>
      <xdr:colOff>1320800</xdr:colOff>
      <xdr:row>82</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71</xdr:row>
      <xdr:rowOff>84779</xdr:rowOff>
    </xdr:from>
    <xdr:to>
      <xdr:col>18</xdr:col>
      <xdr:colOff>872067</xdr:colOff>
      <xdr:row>82</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165034</xdr:rowOff>
    </xdr:from>
    <xdr:to>
      <xdr:col>4</xdr:col>
      <xdr:colOff>476543</xdr:colOff>
      <xdr:row>103</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50272</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33702" y="6250402"/>
          <a:ext cx="9912914" cy="3386086"/>
          <a:chOff x="6434667" y="7708511"/>
          <a:chExt cx="9935105"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591488" y="7708511"/>
            <a:ext cx="6778284" cy="2955531"/>
            <a:chOff x="10040240" y="8595030"/>
            <a:chExt cx="613032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10040240" y="8595030"/>
              <a:ext cx="6130326" cy="2802141"/>
              <a:chOff x="10112009" y="8498416"/>
              <a:chExt cx="660172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112009" y="8507852"/>
              <a:ext cx="3291840"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240831" y="9438175"/>
                <a:ext cx="1351961" cy="208791"/>
              </a:xfrm>
              <a:prstGeom prst="bentConnector3">
                <a:avLst>
                  <a:gd name="adj1" fmla="val 99659"/>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527679" y="9377281"/>
                <a:ext cx="1448068" cy="162303"/>
              </a:xfrm>
              <a:prstGeom prst="bentConnector3">
                <a:avLst>
                  <a:gd name="adj1" fmla="val 101243"/>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441603" y="9758059"/>
            <a:ext cx="1588942" cy="1600247"/>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538068" y="9685490"/>
            <a:ext cx="1571445" cy="1676324"/>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3114146" cy="2934229"/>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23809</xdr:rowOff>
    </xdr:from>
    <xdr:to>
      <xdr:col>14</xdr:col>
      <xdr:colOff>296333</xdr:colOff>
      <xdr:row>70</xdr:row>
      <xdr:rowOff>137584</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33109</xdr:colOff>
      <xdr:row>71</xdr:row>
      <xdr:rowOff>72087</xdr:rowOff>
    </xdr:from>
    <xdr:to>
      <xdr:col>12</xdr:col>
      <xdr:colOff>555925</xdr:colOff>
      <xdr:row>82</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84668</xdr:rowOff>
    </xdr:from>
    <xdr:to>
      <xdr:col>13</xdr:col>
      <xdr:colOff>169334</xdr:colOff>
      <xdr:row>64</xdr:row>
      <xdr:rowOff>63500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32985</xdr:colOff>
      <xdr:row>13</xdr:row>
      <xdr:rowOff>82467</xdr:rowOff>
    </xdr:from>
    <xdr:to>
      <xdr:col>19</xdr:col>
      <xdr:colOff>32986</xdr:colOff>
      <xdr:row>32</xdr:row>
      <xdr:rowOff>16493</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49480</xdr:colOff>
      <xdr:row>3</xdr:row>
      <xdr:rowOff>123701</xdr:rowOff>
    </xdr:from>
    <xdr:to>
      <xdr:col>16</xdr:col>
      <xdr:colOff>620018</xdr:colOff>
      <xdr:row>13</xdr:row>
      <xdr:rowOff>9758</xdr:rowOff>
    </xdr:to>
    <xdr:sp macro="" textlink="">
      <xdr:nvSpPr>
        <xdr:cNvPr id="61" name="TextBox 60">
          <a:extLst>
            <a:ext uri="{FF2B5EF4-FFF2-40B4-BE49-F238E27FC236}">
              <a16:creationId xmlns:a16="http://schemas.microsoft.com/office/drawing/2014/main" id="{FAFC18E3-CA54-4F3A-8246-804D8D88AE73}"/>
            </a:ext>
          </a:extLst>
        </xdr:cNvPr>
        <xdr:cNvSpPr txBox="1"/>
      </xdr:nvSpPr>
      <xdr:spPr>
        <a:xfrm>
          <a:off x="7958116" y="1030844"/>
          <a:ext cx="6871058" cy="1535408"/>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Q4 due to covid-19 restrictions</a:t>
          </a:r>
          <a:endParaRPr lang="en-US" sz="2000" b="1">
            <a:solidFill>
              <a:schemeClr val="bg1"/>
            </a:solidFill>
          </a:endParaRPr>
        </a:p>
      </xdr:txBody>
    </xdr:sp>
    <xdr:clientData/>
  </xdr:twoCellAnchor>
  <xdr:twoCellAnchor>
    <xdr:from>
      <xdr:col>14</xdr:col>
      <xdr:colOff>517072</xdr:colOff>
      <xdr:row>41</xdr:row>
      <xdr:rowOff>0</xdr:rowOff>
    </xdr:from>
    <xdr:to>
      <xdr:col>15</xdr:col>
      <xdr:colOff>1188357</xdr:colOff>
      <xdr:row>42</xdr:row>
      <xdr:rowOff>36285</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547929" y="7493000"/>
          <a:ext cx="1487714"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36 samples tested</a:t>
          </a:r>
        </a:p>
      </xdr:txBody>
    </xdr:sp>
    <xdr:clientData/>
  </xdr:twoCellAnchor>
  <xdr:twoCellAnchor>
    <xdr:from>
      <xdr:col>17</xdr:col>
      <xdr:colOff>99785</xdr:colOff>
      <xdr:row>40</xdr:row>
      <xdr:rowOff>79828</xdr:rowOff>
    </xdr:from>
    <xdr:to>
      <xdr:col>18</xdr:col>
      <xdr:colOff>878115</xdr:colOff>
      <xdr:row>41</xdr:row>
      <xdr:rowOff>108857</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013214" y="7382328"/>
          <a:ext cx="1467758"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84 samples tested</a:t>
          </a:r>
        </a:p>
      </xdr:txBody>
    </xdr:sp>
    <xdr:clientData/>
  </xdr:twoCellAnchor>
  <xdr:twoCellAnchor>
    <xdr:from>
      <xdr:col>14</xdr:col>
      <xdr:colOff>390070</xdr:colOff>
      <xdr:row>54</xdr:row>
      <xdr:rowOff>45356</xdr:rowOff>
    </xdr:from>
    <xdr:to>
      <xdr:col>18</xdr:col>
      <xdr:colOff>898071</xdr:colOff>
      <xdr:row>64</xdr:row>
      <xdr:rowOff>36285</xdr:rowOff>
    </xdr:to>
    <xdr:graphicFrame macro="">
      <xdr:nvGraphicFramePr>
        <xdr:cNvPr id="59" name="Chart 58">
          <a:extLst>
            <a:ext uri="{FF2B5EF4-FFF2-40B4-BE49-F238E27FC236}">
              <a16:creationId xmlns:a16="http://schemas.microsoft.com/office/drawing/2014/main" id="{70D7C5A6-5D8A-47D5-9563-312D89553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512095</xdr:colOff>
      <xdr:row>87</xdr:row>
      <xdr:rowOff>170699</xdr:rowOff>
    </xdr:from>
    <xdr:to>
      <xdr:col>8</xdr:col>
      <xdr:colOff>52710</xdr:colOff>
      <xdr:row>103</xdr:row>
      <xdr:rowOff>20047</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13656</xdr:colOff>
      <xdr:row>24</xdr:row>
      <xdr:rowOff>102418</xdr:rowOff>
    </xdr:from>
    <xdr:to>
      <xdr:col>7</xdr:col>
      <xdr:colOff>867150</xdr:colOff>
      <xdr:row>36</xdr:row>
      <xdr:rowOff>73741</xdr:rowOff>
    </xdr:to>
    <xdr:graphicFrame macro="">
      <xdr:nvGraphicFramePr>
        <xdr:cNvPr id="58" name="Chart 57">
          <a:extLst>
            <a:ext uri="{FF2B5EF4-FFF2-40B4-BE49-F238E27FC236}">
              <a16:creationId xmlns:a16="http://schemas.microsoft.com/office/drawing/2014/main" id="{946A6C0B-FC8A-401A-907D-6C73C3FCA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27312</xdr:colOff>
      <xdr:row>37</xdr:row>
      <xdr:rowOff>20483</xdr:rowOff>
    </xdr:from>
    <xdr:to>
      <xdr:col>7</xdr:col>
      <xdr:colOff>860323</xdr:colOff>
      <xdr:row>49</xdr:row>
      <xdr:rowOff>101053</xdr:rowOff>
    </xdr:to>
    <xdr:graphicFrame macro="">
      <xdr:nvGraphicFramePr>
        <xdr:cNvPr id="60" name="Chart 59">
          <a:extLst>
            <a:ext uri="{FF2B5EF4-FFF2-40B4-BE49-F238E27FC236}">
              <a16:creationId xmlns:a16="http://schemas.microsoft.com/office/drawing/2014/main" id="{A52A4370-6AAC-488F-86F9-31AD9771F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152400</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827313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20/Data%20Entry/Q4_2020/Core_File_Myanmar_WASH_4W_2021_Q4_Rakhine_Ca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2/20220427_Funding%20Matrix_2022_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t="str">
            <v>Cumulative Funding Received for 2022</v>
          </cell>
        </row>
      </sheetData>
      <sheetData sheetId="14" refreshError="1"/>
      <sheetData sheetId="15" refreshError="1"/>
      <sheetData sheetId="16">
        <row r="2">
          <cell r="C2" t="str">
            <v>Camps</v>
          </cell>
          <cell r="D2" t="str">
            <v>Non-IDP Camps</v>
          </cell>
          <cell r="E2" t="str">
            <v>Gap</v>
          </cell>
        </row>
        <row r="3">
          <cell r="C3">
            <v>818998.23351778474</v>
          </cell>
          <cell r="D3">
            <v>741514.26896380901</v>
          </cell>
          <cell r="E3">
            <v>51194172.007969268</v>
          </cell>
        </row>
      </sheetData>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671.711276273149" createdVersion="6" refreshedVersion="6" minRefreshableVersion="3" recordCount="21" xr:uid="{00000000-000A-0000-FFFF-FFFF00000000}">
  <cacheSource type="worksheet">
    <worksheetSource name="WWWW"/>
  </cacheSource>
  <cacheFields count="122">
    <cacheField name="Reporting Period" numFmtId="167">
      <sharedItems containsBlank="1" count="23">
        <s v="2022_Q1"/>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47">
        <s v="OXSI (SI)"/>
        <s v="OXSI (Oxfam)"/>
        <s v="SCI"/>
        <s v="CDA"/>
        <s v="SI"/>
        <s v="RI"/>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47">
        <s v="OXSI (SI)"/>
        <s v="OXSI (Oxfam)"/>
        <s v="SCI"/>
        <s v="CDA"/>
        <s v="SI"/>
        <s v="R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Kachin" u="1"/>
        <s v="Northern Rakhine" u="1"/>
        <s v="Shan (North)" u="1"/>
        <s v="Central Rakhine" u="1"/>
      </sharedItems>
    </cacheField>
    <cacheField name="Township" numFmtId="0">
      <sharedItems containsBlank="1" count="41">
        <s v="Sittwe"/>
        <s v="Kyaukpyu"/>
        <s v="Pauktaw"/>
        <s v="Myebon"/>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s v="Town_New_Displaced" u="1"/>
        <s v="Camp_not registered" u="1"/>
        <s v="Village_New_Displaced" u="1"/>
        <s v="Village" u="1"/>
        <s v="Village_Not HRP" u="1"/>
        <e v="#REF!" u="1"/>
        <e v="#N/A" u="1"/>
        <s v="Town" u="1"/>
        <s v="New Site" u="1"/>
        <s v="New Temporary Site" u="1"/>
      </sharedItems>
    </cacheField>
    <cacheField name="Site Name" numFmtId="0">
      <sharedItems containsBlank="1" count="974">
        <s v="Basare"/>
        <s v="Baw Du Pha 1"/>
        <s v="Khaung Doke Khar 1"/>
        <s v="Ohn Taw Gyi (South)"/>
        <s v="Kyauk Ta Lone"/>
        <s v="Ah Nauk Ywe"/>
        <s v="Kyein Ni Pyin"/>
        <s v="Khaung Doke Khar 2 (Hmanzi)"/>
        <s v="Maw Ti Ngar"/>
        <s v="Phwe Yar Kone (Say Tha Mar Gyi)"/>
        <s v="Thet Kae Pyin "/>
        <s v="Taung Paw"/>
        <s v="Nget Chaung 1"/>
        <s v="Baw Du Pha 2"/>
        <s v="Dar Pai"/>
        <s v="Say Tha Mar Gyi"/>
        <s v="Ohn Taw Chay"/>
        <s v="Nget Chaung 2"/>
        <s v="Sin Tet Maw"/>
        <s v="Ohn Taw Gyi (North)"/>
        <s v="Thae Chaung"/>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72" maxValue="2728"/>
    </cacheField>
    <cacheField name="Total PoP " numFmtId="164">
      <sharedItems containsSemiMixedTypes="0" containsString="0" containsNumber="1" containsInteger="1" minValue="1067" maxValue="13302"/>
    </cacheField>
    <cacheField name="Pop_per_HH" numFmtId="164">
      <sharedItems containsSemiMixedTypes="0" containsString="0" containsNumber="1" minValue="2.868279569892473" maxValue="6.1150000000000002"/>
    </cacheField>
    <cacheField name="Project start date" numFmtId="168">
      <sharedItems containsDate="1" containsMixedTypes="1" minDate="2018-12-11T00:00:00" maxDate="2022-04-02T00:00:00"/>
    </cacheField>
    <cacheField name="Project end date" numFmtId="165">
      <sharedItems containsDate="1" containsMixedTypes="1" minDate="2021-04-30T00:00:00" maxDate="2022-07-01T00:00:00"/>
    </cacheField>
    <cacheField name="#_students at TLS_CFS" numFmtId="164">
      <sharedItems containsNonDate="0" containsString="0" containsBlank="1"/>
    </cacheField>
    <cacheField name="#_Functional_improved_water_source_Handpump" numFmtId="164">
      <sharedItems containsString="0" containsBlank="1" containsNumber="1" containsInteger="1" minValue="21" maxValue="205"/>
    </cacheField>
    <cacheField name="#_Existing_improved_water_source_Handpump" numFmtId="164">
      <sharedItems containsString="0" containsBlank="1" containsNumber="1" containsInteger="1" minValue="23" maxValue="226"/>
    </cacheField>
    <cacheField name="#_Functional_improved_water_source_tapstand_handdugwell" numFmtId="164">
      <sharedItems containsString="0" containsBlank="1" containsNumber="1" containsInteger="1" minValue="6" maxValue="36"/>
    </cacheField>
    <cacheField name="#_Existing_improved_water_source_tapstand_handdugwell" numFmtId="164">
      <sharedItems containsString="0" containsBlank="1" containsNumber="1" containsInteger="1" minValue="6" maxValue="36"/>
    </cacheField>
    <cacheField name="#_litres_of_water_supplied_by_existing_water_boating_trucking " numFmtId="164">
      <sharedItems containsNonDate="0" containsString="0" containsBlank="1"/>
    </cacheField>
    <cacheField name="#_PPL_received safe_drinking_water_HH_filters_centralized water system" numFmtId="164">
      <sharedItems containsString="0" containsBlank="1" containsNumber="1" containsInteger="1" minValue="1067" maxValue="6674"/>
    </cacheField>
    <cacheField name="#_Water samples_Tested_at_water_source" numFmtId="164">
      <sharedItems containsString="0" containsBlank="1" containsNumber="1" containsInteger="1" minValue="36" maxValue="36"/>
    </cacheField>
    <cacheField name="%_Water samples _passed_at_water source" numFmtId="9">
      <sharedItems containsString="0" containsBlank="1" containsNumber="1" containsInteger="1" minValue="1" maxValue="1"/>
    </cacheField>
    <cacheField name="#_Water samples_Tested_at_HH" numFmtId="164">
      <sharedItems containsString="0" containsBlank="1" containsNumber="1" containsInteger="1" minValue="84" maxValue="84"/>
    </cacheField>
    <cacheField name="%_Water samples _passed_at_HH" numFmtId="9">
      <sharedItems containsString="0" containsBlank="1" containsNumber="1" minValue="0.99" maxValue="0.99"/>
    </cacheField>
    <cacheField name="#_HH_receiving_HH_water_storage items" numFmtId="164">
      <sharedItems containsString="0" containsBlank="1" containsNumber="1" containsInteger="1" minValue="376" maxValue="376"/>
    </cacheField>
    <cacheField name="#_PPL_accessed_water_in_TLS" numFmtId="164">
      <sharedItems containsString="0" containsBlank="1" containsNumber="1" containsInteger="1" minValue="197" maxValue="197"/>
    </cacheField>
    <cacheField name="#_PPL_accessed_water_in_THF" numFmtId="164">
      <sharedItems containsString="0" containsBlank="1" containsNumber="1" containsInteger="1" minValue="0" maxValue="0"/>
    </cacheField>
    <cacheField name="WATER Comment" numFmtId="49">
      <sharedItems containsBlank="1"/>
    </cacheField>
    <cacheField name="#_Functional_adult_latrines" numFmtId="164">
      <sharedItems containsSemiMixedTypes="0" containsString="0" containsNumber="1" containsInteger="1" minValue="94" maxValue="828"/>
    </cacheField>
    <cacheField name="#_Existing_latrines" numFmtId="164">
      <sharedItems containsSemiMixedTypes="0" containsString="0" containsNumber="1" containsInteger="1" minValue="94" maxValue="828"/>
    </cacheField>
    <cacheField name="#_latrines_repaired" numFmtId="164">
      <sharedItems containsString="0" containsBlank="1" containsNumber="1" containsInteger="1" minValue="23" maxValue="221"/>
    </cacheField>
    <cacheField name="#_of_latrines_desludged " numFmtId="164">
      <sharedItems containsString="0" containsBlank="1" containsNumber="1" containsInteger="1" minValue="70" maxValue="285"/>
    </cacheField>
    <cacheField name="%_of_Men_that_feel_safe_to_use_latrines_when_they_need_to_(or_at_day/night)'?" numFmtId="9">
      <sharedItems containsBlank="1" containsMixedTypes="1" containsNumber="1" minValue="0.99" maxValue="1"/>
    </cacheField>
    <cacheField name="%_of_Women_that_feel_safe_to_use_latrines_when_they_need_to_(or_at_day/night)?" numFmtId="9">
      <sharedItems containsString="0" containsBlank="1" containsNumber="1" minValue="0.91" maxValue="1"/>
    </cacheField>
    <cacheField name="%_of_Children_that_feel_safe_to_use_latrines_when_they_need_to_(or_at_day/night)?" numFmtId="9">
      <sharedItems containsString="0" containsBlank="1" containsNumber="1" minValue="0.11" maxValue="1"/>
    </cacheField>
    <cacheField name="#_of_functional_children_latrines" numFmtId="164">
      <sharedItems containsString="0" containsBlank="1" containsNumber="1" containsInteger="1" minValue="1" maxValue="34"/>
    </cacheField>
    <cacheField name="#_of_PWD_with_adapted_sanitation_option" numFmtId="164">
      <sharedItems containsString="0" containsBlank="1" containsNumber="1" containsInteger="1" minValue="9" maxValue="183"/>
    </cacheField>
    <cacheField name="#_of_latrines_in_TLS/CFS" numFmtId="164">
      <sharedItems containsString="0" containsBlank="1" containsNumber="1" containsInteger="1" minValue="2" maxValue="40"/>
    </cacheField>
    <cacheField name="#_of_latrines_in_THF" numFmtId="164">
      <sharedItems containsString="0" containsBlank="1" containsNumber="1" containsInteger="1" minValue="1" maxValue="3"/>
    </cacheField>
    <cacheField name="Is_there_an_effective_solid_waste_management_system_in_place?" numFmtId="164">
      <sharedItems containsBlank="1" count="3">
        <s v="Yes"/>
        <s v="No"/>
        <m u="1"/>
      </sharedItems>
    </cacheField>
    <cacheField name="SANITATION Comments " numFmtId="49">
      <sharedItems containsBlank="1"/>
    </cacheField>
    <cacheField name="_#_of_Men_receiving_consultation_hygiene_promotion_messages_and_sessions" numFmtId="164">
      <sharedItems containsString="0" containsBlank="1" containsNumber="1" containsInteger="1" minValue="8" maxValue="1375"/>
    </cacheField>
    <cacheField name="_#_of_Women_receiving_consultation_hygiene_promotion_messages_and_sessions" numFmtId="164">
      <sharedItems containsString="0" containsBlank="1" containsNumber="1" containsInteger="1" minValue="25" maxValue="1725"/>
    </cacheField>
    <cacheField name="_#_of_Boys_receiving_consultation_hygiene_promotion_messages_and_sessions" numFmtId="164">
      <sharedItems containsString="0" containsBlank="1" containsNumber="1" containsInteger="1" minValue="8" maxValue="1953"/>
    </cacheField>
    <cacheField name="_#_of_Girls_receiving_consultation_hygiene_promotion_messages_and_sessions" numFmtId="164">
      <sharedItems containsString="0" containsBlank="1" containsNumber="1" containsInteger="1" minValue="41" maxValue="1849"/>
    </cacheField>
    <cacheField name="#_of_affected_households_receiving_a_sufficient_quantity_of_soap" numFmtId="164">
      <sharedItems containsString="0" containsBlank="1" containsNumber="1" containsInteger="1" minValue="376" maxValue="1850"/>
    </cacheField>
    <cacheField name="#_of_affected_women_and_girls_receiving_a_sufficient_quantity_of_sanitary_pads" numFmtId="164">
      <sharedItems containsString="0" containsBlank="1" containsNumber="1" containsInteger="1" minValue="511" maxValue="3700"/>
    </cacheField>
    <cacheField name="%_of_women_and_girls_who_report_that_they_have_an_adequate_system_for_disposing_of_used_sanitary_pads" numFmtId="9">
      <sharedItems containsString="0" containsBlank="1" containsNumber="1" minValue="0" maxValue="1"/>
    </cacheField>
    <cacheField name="%_of_affected_people_who_report_handwashing_at_key_times" numFmtId="9">
      <sharedItems containsString="0" containsBlank="1" containsNumber="1" minValue="0.79" maxValue="1"/>
    </cacheField>
    <cacheField name="#_of_functional_HWS_in TLS/CFS" numFmtId="1">
      <sharedItems containsString="0" containsBlank="1" containsNumber="1" containsInteger="1" minValue="0" maxValue="32"/>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83" maxValue="1"/>
    </cacheField>
    <cacheField name="%_of_affected_people_surveyed_who_report_feeling_satistfied_with_the_water_point_design_and_water_service" numFmtId="9">
      <sharedItems containsString="0" containsBlank="1" containsNumber="1" minValue="0.87" maxValue="1"/>
    </cacheField>
    <cacheField name="%_of_affected_people_surveyed_who_report_feeling_informed_about_the_different_WASH_services_available_to_them" numFmtId="9">
      <sharedItems containsString="0" containsBlank="1" containsNumber="1" minValue="0.9" maxValue="1"/>
    </cacheField>
    <cacheField name="%_of_complaints_received_that_result_in_timely_corrective_action_and_feedback_to_the_community" numFmtId="9">
      <sharedItems containsString="0" containsBlank="1" containsNumber="1" minValue="0.79" maxValue="1"/>
    </cacheField>
    <cacheField name="Diarrhoea_rate_per_10,000_ppl,_average_over_past_3_months_(extracted_from_EpiWeek_data_from_health)" numFmtId="9">
      <sharedItems containsString="0" containsBlank="1" containsNumber="1" containsInteger="1" minValue="0" maxValue="0"/>
    </cacheField>
    <cacheField name="#_of_sanitation_facilities_(latrines)_built/repaired/rehabilitated_following_risk-sensitive_programming_and_consultation_with_communities_and/or_GBV_risk-sensitive_programming" numFmtId="164">
      <sharedItems containsString="0" containsBlank="1" containsNumber="1" containsInteger="1" minValue="120" maxValue="570"/>
    </cacheField>
    <cacheField name="#_of_sanitation_facilities_(HH_sanitation_devices)_distributed_following_risk-sensitive_programming_and_consultation_with_communities_and/or_GBV_risk-sensitive_programming" numFmtId="164">
      <sharedItems containsNonDate="0" containsString="0" containsBlank="1"/>
    </cacheField>
    <cacheField name="# of sanitation facilities (bathing spaces) built following risk-sensitive programming and consultation with communities" numFmtId="164">
      <sharedItems containsNonDate="0" containsString="0" containsBlank="1"/>
    </cacheField>
    <cacheField name="amount_of_MMK/Voucher_or_Token_distributed_per_HH/Family" numFmtId="0">
      <sharedItems containsNonDate="0" containsString="0" containsBlank="1"/>
    </cacheField>
    <cacheField name="#_of_Family/HH_Reached" numFmtId="0">
      <sharedItems containsNonDate="0" containsString="0" containsBlank="1"/>
    </cacheField>
    <cacheField name="Date_of_Cash_distribution" numFmtId="0">
      <sharedItems containsNonDate="0" containsString="0" containsBlank="1"/>
    </cacheField>
    <cacheField name="Cash_distributed_for_which_items" numFmtId="164">
      <sharedItems containsNonDate="0" containsString="0" containsBlank="1"/>
    </cacheField>
    <cacheField name="Water_testing_at source" numFmtId="9">
      <sharedItems/>
    </cacheField>
    <cacheField name="Water_testing_at HH" numFmtId="9">
      <sharedItems/>
    </cacheField>
    <cacheField name="Warter quality test done" numFmtId="1">
      <sharedItems containsBlank="1" count="3">
        <s v="No Test"/>
        <s v="Tested"/>
        <m u="1"/>
      </sharedItems>
    </cacheField>
    <cacheField name="% HRP1" numFmtId="9">
      <sharedItems containsSemiMixedTypes="0" containsString="0" containsNumber="1" containsInteger="1" minValue="0" maxValue="1"/>
    </cacheField>
    <cacheField name="HRP1" numFmtId="164">
      <sharedItems containsSemiMixedTypes="0" containsString="0" containsNumber="1" containsInteger="1" minValue="0" maxValue="13302"/>
    </cacheField>
    <cacheField name="#Water points coverage" numFmtId="1">
      <sharedItems containsSemiMixedTypes="0" containsString="0" containsNumber="1" minValue="0" maxValue="26.603999999999999"/>
    </cacheField>
    <cacheField name="%equitable and continuous access to sufficient quantity of safe drinking and domestic water's GAP" numFmtId="9">
      <sharedItems containsSemiMixedTypes="0" containsString="0" containsNumber="1" containsInteger="1" minValue="0" maxValue="1"/>
    </cacheField>
    <cacheField name="# people needs equitable and continuous access to sufficient quantity of safe drinking and domestic water GAP" numFmtId="1">
      <sharedItems containsSemiMixedTypes="0" containsString="0" containsNumber="1" containsInteger="1" minValue="0" maxValue="2920"/>
    </cacheField>
    <cacheField name="Total required water points" numFmtId="1">
      <sharedItems containsSemiMixedTypes="0" containsString="0" containsNumber="1" containsInteger="1" minValue="2" maxValue="27"/>
    </cacheField>
    <cacheField name="#Potential required new water points" numFmtId="1">
      <sharedItems containsSemiMixedTypes="0" containsString="0" containsNumber="1" minValue="0" maxValue="6"/>
    </cacheField>
    <cacheField name="% HRP2" numFmtId="9">
      <sharedItems containsSemiMixedTypes="0" containsString="0" containsNumber="1" minValue="0.60509554140127386" maxValue="1"/>
    </cacheField>
    <cacheField name="HRP2" numFmtId="1">
      <sharedItems containsSemiMixedTypes="0" containsString="0" containsNumber="1" containsInteger="1" minValue="1067" maxValue="11478"/>
    </cacheField>
    <cacheField name="Ratio (PPL:1latrine)" numFmtId="1">
      <sharedItems containsSemiMixedTypes="0" containsString="0" containsNumber="1" minValue="4.5482866043613708" maxValue="41.52066115702479"/>
    </cacheField>
    <cacheField name="# students access to functioning school latrines_HRP5" numFmtId="1">
      <sharedItems containsSemiMixedTypes="0" containsString="0" containsNumber="1" containsInteger="1" minValue="0" maxValue="2000"/>
    </cacheField>
    <cacheField name="# people access to functioning latrines in THF_HRP6" numFmtId="1">
      <sharedItems containsSemiMixedTypes="0" containsString="0" containsNumber="1" containsInteger="1" minValue="0" maxValue="150"/>
    </cacheField>
    <cacheField name="Total required Latrines" numFmtId="1">
      <sharedItems containsSemiMixedTypes="0" containsString="0" containsNumber="1" containsInteger="1" minValue="53" maxValue="665"/>
    </cacheField>
    <cacheField name="# potential required new latrines" numFmtId="1">
      <sharedItems containsSemiMixedTypes="0" containsString="0" containsNumber="1" containsInteger="1" minValue="0" maxValue="97"/>
    </cacheField>
    <cacheField name="% of Latrine Gap" numFmtId="9">
      <sharedItems containsSemiMixedTypes="0" containsString="0" containsNumber="1" minValue="0" maxValue="0.39490445859872614"/>
    </cacheField>
    <cacheField name="% Latrines requiring  repairs" numFmtId="9">
      <sharedItems containsSemiMixedTypes="0" containsString="0" containsNumber="1" minValue="-1.11731843575419E-2" maxValue="0.28613569321533922"/>
    </cacheField>
    <cacheField name="# people reached by regular dedicated hygiene promotion_5" numFmtId="1">
      <sharedItems containsSemiMixedTypes="0" containsString="0" containsNumber="1" containsInteger="1" minValue="0" maxValue="6674"/>
    </cacheField>
    <cacheField name="# People with access to soap" numFmtId="1">
      <sharedItems containsSemiMixedTypes="0" containsString="0" containsNumber="1" minValue="0" maxValue="11056"/>
    </cacheField>
    <cacheField name="# People with access to Sanity Pads" numFmtId="1">
      <sharedItems containsSemiMixedTypes="0" containsString="0" containsNumber="1" containsInteger="1" minValue="0" maxValue="3700"/>
    </cacheField>
    <cacheField name="# People received regular supply of hygiene items_6" numFmtId="1">
      <sharedItems containsSemiMixedTypes="0" containsString="0" containsNumber="1" minValue="0" maxValue="11056"/>
    </cacheField>
    <cacheField name="HRP3" numFmtId="1">
      <sharedItems containsSemiMixedTypes="0" containsString="0" containsNumber="1" containsInteger="1" minValue="0" maxValue="11056"/>
    </cacheField>
    <cacheField name="Hygiene Coverage%" numFmtId="9">
      <sharedItems containsSemiMixedTypes="0" containsString="0" containsNumber="1" containsInteger="1" minValue="0" maxValue="1"/>
    </cacheField>
    <cacheField name="Hygiene Gap%" numFmtId="9">
      <sharedItems containsSemiMixedTypes="0" containsString="0" containsNumber="1" containsInteger="1" minValue="0" maxValue="1"/>
    </cacheField>
    <cacheField name="%people reached by regular dedicated hygiene promotion" numFmtId="9">
      <sharedItems containsSemiMixedTypes="0" containsString="0" containsNumber="1" minValue="0" maxValue="1.4578696343402227"/>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HRP4" numFmtId="49">
      <sharedItems containsSemiMixedTypes="0" containsString="0" containsNumber="1" containsInteger="1" minValue="0" maxValue="570"/>
    </cacheField>
    <cacheField name="HRP5" numFmtId="164">
      <sharedItems containsSemiMixedTypes="0" containsString="0" containsNumber="1" containsInteger="1" minValue="0" maxValue="2000"/>
    </cacheField>
    <cacheField name="HRP6" numFmtId="164">
      <sharedItems containsSemiMixedTypes="0" containsString="0" containsNumber="1" containsInteger="1" minValue="0" maxValue="1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tring="0" containsBlank="1" containsNumber="1" containsInteger="1" minValue="0" maxValue="365"/>
    </cacheField>
    <cacheField name="# of Female_People with disabilities" numFmtId="0">
      <sharedItems containsString="0" containsBlank="1"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676.601969328702" backgroundQuery="1" createdVersion="6" refreshedVersion="6"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13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13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130"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20" unbalanced="0"/>
    <cacheHierarchy uniqueName="[WWWW].[Hygiene Gap%]" caption="Hygiene Gap%" attribute="1" defaultMemberUniqueName="[WWWW].[Hygiene Gap%].[All]" allUniqueName="[WWWW].[Hygiene Gap%].[All]" dimensionUniqueName="[WWWW]" displayFolder="" count="0" memberValueDatatype="2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676.603285879632" backgroundQuery="1" createdVersion="6" refreshedVersion="6"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13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13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20"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130"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20"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20" unbalanced="0"/>
    <cacheHierarchy uniqueName="[WWWW].[HRP1]" caption="HRP1" attribute="1" defaultMemberUniqueName="[WWWW].[HRP1].[All]" allUniqueName="[WWWW].[HRP1].[All]" dimensionUniqueName="[WWWW]" displayFolder="" count="0" memberValueDatatype="20"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20"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20"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20" unbalanced="0"/>
    <cacheHierarchy uniqueName="[WWWW].[Hygiene Gap%]" caption="Hygiene Gap%" attribute="1" defaultMemberUniqueName="[WWWW].[Hygiene Gap%].[All]" allUniqueName="[WWWW].[Hygiene Gap%].[All]" dimensionUniqueName="[WWWW]" displayFolder="" count="0" memberValueDatatype="2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s v="DFID/HARP"/>
    <x v="0"/>
    <x v="0"/>
    <x v="0"/>
    <x v="0"/>
    <n v="382"/>
    <n v="2139"/>
    <n v="5.5994764397905756"/>
    <d v="2022-04-01T00:00:00"/>
    <d v="2022-06-30T00:00:00"/>
    <m/>
    <n v="21"/>
    <n v="23"/>
    <m/>
    <m/>
    <m/>
    <m/>
    <m/>
    <m/>
    <m/>
    <m/>
    <m/>
    <m/>
    <m/>
    <m/>
    <n v="113"/>
    <n v="120"/>
    <n v="101"/>
    <n v="70"/>
    <n v="1"/>
    <n v="0.91"/>
    <n v="0.55000000000000004"/>
    <n v="12"/>
    <n v="37"/>
    <n v="4"/>
    <m/>
    <x v="0"/>
    <m/>
    <n v="8"/>
    <n v="27"/>
    <n v="9"/>
    <n v="89"/>
    <n v="382"/>
    <n v="764"/>
    <n v="1"/>
    <n v="1"/>
    <n v="8"/>
    <m/>
    <n v="1"/>
    <n v="1"/>
    <n v="1"/>
    <n v="0.88"/>
    <m/>
    <n v="120"/>
    <m/>
    <m/>
    <m/>
    <m/>
    <m/>
    <m/>
    <s v="no test"/>
    <s v="no test"/>
    <x v="0"/>
    <n v="1"/>
    <n v="2139"/>
    <n v="4.2779999999999996"/>
    <n v="0"/>
    <n v="0"/>
    <n v="4"/>
    <n v="0"/>
    <n v="1"/>
    <n v="2139"/>
    <n v="18.929203539823011"/>
    <n v="200"/>
    <n v="0"/>
    <n v="107"/>
    <n v="0"/>
    <n v="0"/>
    <n v="5.8333333333333334E-2"/>
    <n v="133"/>
    <n v="2139"/>
    <n v="764"/>
    <n v="2139"/>
    <n v="2139"/>
    <n v="1"/>
    <n v="0"/>
    <n v="6.2178588125292193E-2"/>
    <n v="1"/>
    <s v="No"/>
    <n v="1"/>
    <n v="120"/>
    <n v="200"/>
    <n v="0"/>
    <s v="Yes"/>
    <n v="0"/>
    <s v="Camp"/>
    <x v="0"/>
    <s v="Muslim"/>
    <n v="20.128488999999998"/>
    <n v="92.875814000000005"/>
    <s v="MMR012CMP039"/>
    <x v="0"/>
    <m/>
    <m/>
    <n v="0"/>
    <m/>
    <m/>
    <m/>
    <m/>
    <n v="380"/>
    <n v="2435"/>
  </r>
  <r>
    <x v="0"/>
    <x v="0"/>
    <x v="0"/>
    <s v="DFID/HARP"/>
    <x v="0"/>
    <x v="0"/>
    <x v="0"/>
    <x v="1"/>
    <n v="1012"/>
    <n v="4875"/>
    <n v="4.8171936758893281"/>
    <d v="2022-04-01T00:00:00"/>
    <d v="2022-06-30T00:00:00"/>
    <m/>
    <n v="42"/>
    <n v="50"/>
    <m/>
    <m/>
    <m/>
    <m/>
    <m/>
    <m/>
    <m/>
    <m/>
    <m/>
    <m/>
    <m/>
    <m/>
    <n v="232"/>
    <n v="254"/>
    <n v="221"/>
    <n v="285"/>
    <n v="1"/>
    <n v="0.97"/>
    <n v="0.11"/>
    <n v="12"/>
    <n v="183"/>
    <n v="11"/>
    <m/>
    <x v="0"/>
    <m/>
    <n v="37"/>
    <n v="26"/>
    <n v="8"/>
    <n v="131"/>
    <n v="1012"/>
    <n v="2024"/>
    <n v="0.86"/>
    <n v="1"/>
    <n v="0"/>
    <m/>
    <n v="0.94"/>
    <n v="0.87"/>
    <n v="0.9"/>
    <n v="0.86"/>
    <m/>
    <n v="254"/>
    <m/>
    <m/>
    <m/>
    <m/>
    <m/>
    <m/>
    <s v="no test"/>
    <s v="no test"/>
    <x v="0"/>
    <n v="1"/>
    <n v="4875"/>
    <n v="9.75"/>
    <n v="0"/>
    <n v="0"/>
    <n v="10"/>
    <n v="0.25"/>
    <n v="1"/>
    <n v="4875"/>
    <n v="21.012931034482758"/>
    <n v="550"/>
    <n v="0"/>
    <n v="244"/>
    <n v="0"/>
    <n v="0"/>
    <n v="8.6614173228346455E-2"/>
    <n v="202"/>
    <n v="4875"/>
    <n v="2024"/>
    <n v="4875"/>
    <n v="4875"/>
    <n v="1"/>
    <n v="0"/>
    <n v="4.1435897435897436E-2"/>
    <n v="1"/>
    <s v="No"/>
    <n v="0.9"/>
    <n v="254"/>
    <n v="550"/>
    <n v="0"/>
    <s v="Yes"/>
    <n v="0"/>
    <s v="Camp"/>
    <x v="0"/>
    <s v="Muslim"/>
    <n v="20.179417000000001"/>
    <n v="92.813028000000003"/>
    <s v="MMR012CMP113"/>
    <x v="0"/>
    <m/>
    <m/>
    <n v="0"/>
    <m/>
    <m/>
    <m/>
    <m/>
    <n v="1012"/>
    <n v="5066"/>
  </r>
  <r>
    <x v="0"/>
    <x v="1"/>
    <x v="1"/>
    <s v="DFID/HARP"/>
    <x v="0"/>
    <x v="0"/>
    <x v="0"/>
    <x v="2"/>
    <n v="400"/>
    <n v="2248"/>
    <n v="5.62"/>
    <d v="2021-01-01T00:00:00"/>
    <d v="2022-01-31T00:00:00"/>
    <m/>
    <n v="47"/>
    <n v="53"/>
    <m/>
    <m/>
    <m/>
    <m/>
    <m/>
    <m/>
    <m/>
    <m/>
    <m/>
    <m/>
    <m/>
    <m/>
    <n v="100"/>
    <n v="116"/>
    <m/>
    <m/>
    <m/>
    <m/>
    <m/>
    <n v="12"/>
    <n v="29"/>
    <n v="4"/>
    <m/>
    <x v="0"/>
    <m/>
    <m/>
    <m/>
    <m/>
    <m/>
    <m/>
    <m/>
    <m/>
    <m/>
    <n v="5"/>
    <m/>
    <m/>
    <m/>
    <m/>
    <m/>
    <m/>
    <m/>
    <m/>
    <m/>
    <m/>
    <m/>
    <m/>
    <m/>
    <s v="no test"/>
    <s v="no test"/>
    <x v="0"/>
    <n v="1"/>
    <n v="2248"/>
    <n v="4.4960000000000004"/>
    <n v="0"/>
    <n v="0"/>
    <n v="4"/>
    <n v="0"/>
    <n v="1"/>
    <n v="2248"/>
    <n v="22.48"/>
    <n v="200"/>
    <n v="0"/>
    <n v="112"/>
    <n v="0"/>
    <n v="0"/>
    <n v="0.13793103448275862"/>
    <n v="0"/>
    <n v="0"/>
    <n v="0"/>
    <n v="0"/>
    <n v="0"/>
    <n v="0"/>
    <n v="1"/>
    <n v="0"/>
    <n v="0"/>
    <s v="No"/>
    <n v="0"/>
    <n v="0"/>
    <n v="200"/>
    <n v="0"/>
    <s v="Yes"/>
    <n v="0"/>
    <s v="Camp"/>
    <x v="0"/>
    <s v="Muslim"/>
    <n v="20.181778000000001"/>
    <n v="92.823166999999998"/>
    <s v="MMR012CMP042"/>
    <x v="0"/>
    <n v="47"/>
    <n v="306"/>
    <n v="353"/>
    <m/>
    <m/>
    <m/>
    <m/>
    <n v="392"/>
    <n v="2455"/>
  </r>
  <r>
    <x v="0"/>
    <x v="2"/>
    <x v="2"/>
    <s v="OFDA"/>
    <x v="0"/>
    <x v="0"/>
    <x v="0"/>
    <x v="3"/>
    <n v="2260"/>
    <n v="11478"/>
    <n v="5.0787610619469028"/>
    <d v="2021-06-01T00:00:00"/>
    <d v="2022-05-31T00:00:00"/>
    <m/>
    <n v="199"/>
    <n v="223"/>
    <m/>
    <m/>
    <m/>
    <m/>
    <m/>
    <m/>
    <m/>
    <m/>
    <m/>
    <m/>
    <m/>
    <m/>
    <n v="828"/>
    <n v="828"/>
    <m/>
    <m/>
    <m/>
    <m/>
    <m/>
    <n v="2"/>
    <n v="46"/>
    <m/>
    <m/>
    <x v="0"/>
    <m/>
    <m/>
    <m/>
    <m/>
    <m/>
    <m/>
    <m/>
    <m/>
    <m/>
    <m/>
    <m/>
    <m/>
    <m/>
    <m/>
    <m/>
    <m/>
    <m/>
    <m/>
    <m/>
    <m/>
    <m/>
    <m/>
    <m/>
    <s v="no test"/>
    <s v="no test"/>
    <x v="0"/>
    <n v="1"/>
    <n v="11478"/>
    <n v="22.956"/>
    <n v="0"/>
    <n v="0"/>
    <n v="23"/>
    <n v="4.4000000000000483E-2"/>
    <n v="1"/>
    <n v="11478"/>
    <n v="13.862318840579711"/>
    <n v="0"/>
    <n v="0"/>
    <n v="574"/>
    <n v="0"/>
    <n v="0"/>
    <n v="0"/>
    <n v="0"/>
    <n v="0"/>
    <n v="0"/>
    <n v="0"/>
    <n v="0"/>
    <n v="0"/>
    <n v="1"/>
    <n v="0"/>
    <n v="0"/>
    <s v="No"/>
    <n v="0"/>
    <n v="0"/>
    <n v="0"/>
    <n v="0"/>
    <s v="Yes"/>
    <n v="0"/>
    <s v="Camp"/>
    <x v="0"/>
    <s v="Muslim"/>
    <n v="20.185092000000001"/>
    <n v="92.802295999999998"/>
    <s v="MMR012CMP116"/>
    <x v="0"/>
    <n v="223"/>
    <n v="1507"/>
    <n v="1730"/>
    <m/>
    <m/>
    <m/>
    <m/>
    <n v="2275"/>
    <n v="12341"/>
  </r>
  <r>
    <x v="0"/>
    <x v="3"/>
    <x v="3"/>
    <s v="UNICEF"/>
    <x v="0"/>
    <x v="1"/>
    <x v="0"/>
    <x v="4"/>
    <n v="372"/>
    <n v="1067"/>
    <n v="2.868279569892473"/>
    <d v="2021-07-01T00:00:00"/>
    <d v="2022-06-30T00:00:00"/>
    <m/>
    <m/>
    <m/>
    <n v="14"/>
    <n v="19"/>
    <m/>
    <n v="1067"/>
    <n v="36"/>
    <n v="1"/>
    <n v="84"/>
    <n v="0.99"/>
    <n v="376"/>
    <n v="197"/>
    <n v="0"/>
    <s v="CDA provided 367 UNICEF Logo bucket (20 liter and 10 liters) to Kyauk Talone camp in March 2022."/>
    <n v="94"/>
    <n v="94"/>
    <n v="23"/>
    <n v="94"/>
    <n v="1"/>
    <n v="1"/>
    <n v="1"/>
    <m/>
    <m/>
    <n v="8"/>
    <m/>
    <x v="0"/>
    <s v="10% of women complained this PD sanitation pad because these pads are thin and not confortable  for day using but better using for night time."/>
    <n v="124"/>
    <n v="199"/>
    <n v="33"/>
    <n v="41"/>
    <n v="376"/>
    <n v="511"/>
    <n v="0"/>
    <n v="0.95"/>
    <n v="8"/>
    <m/>
    <m/>
    <m/>
    <m/>
    <m/>
    <n v="0"/>
    <m/>
    <m/>
    <m/>
    <m/>
    <m/>
    <m/>
    <m/>
    <s v="Tested"/>
    <s v="Tested"/>
    <x v="1"/>
    <n v="1"/>
    <n v="1067"/>
    <n v="2.1339999999999999"/>
    <n v="0"/>
    <n v="0"/>
    <n v="2"/>
    <n v="0"/>
    <n v="1"/>
    <n v="1067"/>
    <n v="11.351063829787234"/>
    <n v="400"/>
    <n v="0"/>
    <n v="53"/>
    <n v="0"/>
    <n v="0"/>
    <n v="0"/>
    <n v="397"/>
    <n v="1067"/>
    <n v="511"/>
    <n v="1067"/>
    <n v="1067"/>
    <n v="1"/>
    <n v="0"/>
    <n v="0.37207122774133083"/>
    <n v="1"/>
    <s v="No"/>
    <n v="0"/>
    <n v="0"/>
    <n v="400"/>
    <n v="0"/>
    <s v="Yes"/>
    <s v="UNHCR"/>
    <s v="Camp"/>
    <x v="0"/>
    <s v="Muslim"/>
    <n v="19.424576999999999"/>
    <n v="93.512326000000002"/>
    <s v="MMR012CMP035"/>
    <x v="0"/>
    <m/>
    <m/>
    <n v="0"/>
    <m/>
    <m/>
    <m/>
    <m/>
    <n v="334"/>
    <n v="1001"/>
  </r>
  <r>
    <x v="0"/>
    <x v="4"/>
    <x v="4"/>
    <s v="ECHO, OFDA, CDC "/>
    <x v="0"/>
    <x v="2"/>
    <x v="0"/>
    <x v="5"/>
    <n v="1112"/>
    <n v="5133"/>
    <n v="4.6160071942446042"/>
    <s v="10/1/2020, 3/1/2019"/>
    <s v="12/31/2020, 2/28/2022"/>
    <m/>
    <m/>
    <m/>
    <n v="14"/>
    <n v="14"/>
    <m/>
    <n v="5133"/>
    <m/>
    <m/>
    <m/>
    <m/>
    <m/>
    <m/>
    <m/>
    <m/>
    <n v="168"/>
    <n v="198"/>
    <m/>
    <m/>
    <n v="0.99"/>
    <n v="0.98"/>
    <n v="0.98"/>
    <n v="27"/>
    <n v="60"/>
    <m/>
    <n v="3"/>
    <x v="0"/>
    <s v="The result of percentage indicators were from the KAP survey conducted in Sep 2021. The next survey will be done in April 2022."/>
    <n v="997"/>
    <n v="1200"/>
    <n v="1521"/>
    <n v="1415"/>
    <n v="1112"/>
    <n v="2224"/>
    <m/>
    <n v="0.79"/>
    <m/>
    <s v="Distribution done in March covering 3 months"/>
    <n v="0.98"/>
    <n v="0.99"/>
    <n v="0.99"/>
    <n v="1"/>
    <m/>
    <m/>
    <m/>
    <m/>
    <m/>
    <m/>
    <m/>
    <m/>
    <s v="no test"/>
    <s v="no test"/>
    <x v="0"/>
    <n v="1"/>
    <n v="5133"/>
    <n v="10.266"/>
    <n v="0"/>
    <n v="0"/>
    <n v="10"/>
    <n v="0"/>
    <n v="0.77147866744593807"/>
    <n v="3960"/>
    <n v="30.553571428571427"/>
    <n v="0"/>
    <n v="150"/>
    <n v="257"/>
    <n v="59"/>
    <n v="0.22852133255406193"/>
    <n v="0.15151515151515152"/>
    <n v="5133"/>
    <n v="5133"/>
    <n v="2224"/>
    <n v="5133"/>
    <n v="5133"/>
    <n v="1"/>
    <n v="0"/>
    <n v="1"/>
    <n v="1"/>
    <s v="No"/>
    <n v="0.99"/>
    <n v="0"/>
    <n v="0"/>
    <n v="150"/>
    <s v="Yes"/>
    <s v="LWF"/>
    <s v="Camp"/>
    <x v="0"/>
    <s v="Muslim"/>
    <n v="20.108101999999999"/>
    <n v="92.985095000000001"/>
    <s v="MMR012CMP016"/>
    <x v="0"/>
    <m/>
    <m/>
    <n v="0"/>
    <m/>
    <m/>
    <m/>
    <m/>
    <n v="1115"/>
    <n v="5197"/>
  </r>
  <r>
    <x v="0"/>
    <x v="4"/>
    <x v="4"/>
    <s v="UNICEF, OFDA"/>
    <x v="0"/>
    <x v="2"/>
    <x v="0"/>
    <x v="6"/>
    <n v="1387"/>
    <n v="6674"/>
    <n v="4.8118240807498198"/>
    <d v="2018-12-11T00:00:00"/>
    <d v="2022-02-28T00:00:00"/>
    <m/>
    <m/>
    <m/>
    <n v="36"/>
    <n v="36"/>
    <m/>
    <n v="6674"/>
    <m/>
    <m/>
    <m/>
    <m/>
    <m/>
    <m/>
    <m/>
    <m/>
    <n v="212"/>
    <n v="238"/>
    <m/>
    <m/>
    <n v="0.99"/>
    <n v="0.98"/>
    <n v="0.98"/>
    <n v="18"/>
    <n v="69"/>
    <m/>
    <n v="3"/>
    <x v="0"/>
    <s v="The result of percentage indicators were from the KAP survey conducted in Sep 2021. The next survey will be done in April 2022."/>
    <n v="1375"/>
    <n v="1497"/>
    <n v="1953"/>
    <n v="1849"/>
    <n v="1387"/>
    <n v="2774"/>
    <m/>
    <n v="0.79"/>
    <m/>
    <s v="Distribution done in March covering 2 months"/>
    <n v="0.83"/>
    <n v="0.99"/>
    <n v="0.97"/>
    <n v="1"/>
    <m/>
    <m/>
    <m/>
    <m/>
    <m/>
    <m/>
    <m/>
    <m/>
    <s v="no test"/>
    <s v="no test"/>
    <x v="0"/>
    <n v="1"/>
    <n v="6674"/>
    <n v="13.348000000000001"/>
    <n v="0"/>
    <n v="0"/>
    <n v="13"/>
    <n v="0"/>
    <n v="0.69958046149235842"/>
    <n v="4669"/>
    <n v="31.481132075471699"/>
    <n v="0"/>
    <n v="150"/>
    <n v="334"/>
    <n v="96"/>
    <n v="0.30041953850764158"/>
    <n v="0.1092436974789916"/>
    <n v="6674"/>
    <n v="6674"/>
    <n v="2774"/>
    <n v="6674"/>
    <n v="6674"/>
    <n v="1"/>
    <n v="0"/>
    <n v="1"/>
    <n v="1"/>
    <s v="No"/>
    <n v="0.97"/>
    <n v="0"/>
    <n v="0"/>
    <n v="150"/>
    <s v="Yes"/>
    <s v="DRC"/>
    <s v="Camp"/>
    <x v="0"/>
    <s v="Muslim"/>
    <n v="20.090183"/>
    <n v="93.010368999999997"/>
    <s v="MMR012CMP018"/>
    <x v="0"/>
    <m/>
    <m/>
    <n v="0"/>
    <m/>
    <m/>
    <m/>
    <m/>
    <n v="1387"/>
    <n v="6674"/>
  </r>
  <r>
    <x v="0"/>
    <x v="0"/>
    <x v="0"/>
    <s v="DFID/HARP"/>
    <x v="0"/>
    <x v="0"/>
    <x v="0"/>
    <x v="7"/>
    <n v="400"/>
    <n v="2186"/>
    <n v="5.4649999999999999"/>
    <d v="2021-01-01T00:00:00"/>
    <d v="2022-01-31T00:00:00"/>
    <m/>
    <n v="24"/>
    <n v="26"/>
    <m/>
    <m/>
    <m/>
    <m/>
    <m/>
    <m/>
    <m/>
    <m/>
    <m/>
    <m/>
    <m/>
    <m/>
    <n v="100"/>
    <n v="104"/>
    <m/>
    <m/>
    <m/>
    <m/>
    <m/>
    <n v="8"/>
    <n v="32"/>
    <n v="3"/>
    <m/>
    <x v="0"/>
    <m/>
    <m/>
    <m/>
    <m/>
    <m/>
    <m/>
    <m/>
    <m/>
    <m/>
    <n v="0"/>
    <m/>
    <m/>
    <m/>
    <m/>
    <m/>
    <m/>
    <m/>
    <m/>
    <m/>
    <m/>
    <m/>
    <m/>
    <m/>
    <s v="no test"/>
    <s v="no test"/>
    <x v="0"/>
    <n v="1"/>
    <n v="2186"/>
    <n v="4.3719999999999999"/>
    <n v="0"/>
    <n v="0"/>
    <n v="4"/>
    <n v="0"/>
    <n v="1"/>
    <n v="2186"/>
    <n v="21.86"/>
    <n v="150"/>
    <n v="0"/>
    <n v="109"/>
    <n v="5"/>
    <n v="0"/>
    <n v="3.8461538461538464E-2"/>
    <n v="0"/>
    <n v="0"/>
    <n v="0"/>
    <n v="0"/>
    <n v="0"/>
    <n v="0"/>
    <n v="1"/>
    <n v="0"/>
    <n v="0"/>
    <s v="No"/>
    <n v="0"/>
    <n v="0"/>
    <n v="150"/>
    <n v="0"/>
    <n v="0"/>
    <n v="0"/>
    <s v="Camp"/>
    <x v="0"/>
    <s v="Muslim"/>
    <n v="20.180194"/>
    <n v="92.816638999999995"/>
    <s v="MMR012CMP042"/>
    <x v="0"/>
    <n v="70"/>
    <n v="241"/>
    <n v="311"/>
    <m/>
    <m/>
    <m/>
    <m/>
    <n v="400"/>
    <n v="2228"/>
  </r>
  <r>
    <x v="0"/>
    <x v="1"/>
    <x v="1"/>
    <s v="DFID/HARP"/>
    <x v="0"/>
    <x v="0"/>
    <x v="0"/>
    <x v="8"/>
    <n v="656"/>
    <n v="3486"/>
    <n v="5.3140243902439028"/>
    <d v="2021-01-01T00:00:00"/>
    <d v="2022-01-31T00:00:00"/>
    <m/>
    <n v="29"/>
    <n v="39"/>
    <m/>
    <m/>
    <m/>
    <m/>
    <m/>
    <m/>
    <m/>
    <m/>
    <m/>
    <m/>
    <m/>
    <m/>
    <n v="199"/>
    <n v="228"/>
    <m/>
    <m/>
    <m/>
    <m/>
    <m/>
    <n v="2"/>
    <n v="42"/>
    <n v="8"/>
    <m/>
    <x v="0"/>
    <m/>
    <m/>
    <m/>
    <m/>
    <m/>
    <m/>
    <m/>
    <m/>
    <m/>
    <n v="3"/>
    <m/>
    <m/>
    <m/>
    <m/>
    <m/>
    <m/>
    <m/>
    <m/>
    <m/>
    <m/>
    <m/>
    <m/>
    <m/>
    <s v="no test"/>
    <s v="no test"/>
    <x v="0"/>
    <n v="1"/>
    <n v="3486"/>
    <n v="6.9720000000000004"/>
    <n v="0"/>
    <n v="0"/>
    <n v="7"/>
    <n v="2.7999999999999581E-2"/>
    <n v="1"/>
    <n v="3486"/>
    <n v="17.517587939698494"/>
    <n v="400"/>
    <n v="0"/>
    <n v="174"/>
    <n v="0"/>
    <n v="0"/>
    <n v="0.12719298245614036"/>
    <n v="0"/>
    <n v="0"/>
    <n v="0"/>
    <n v="0"/>
    <n v="0"/>
    <n v="0"/>
    <n v="1"/>
    <n v="0"/>
    <n v="0"/>
    <s v="No"/>
    <n v="0"/>
    <n v="0"/>
    <n v="400"/>
    <n v="0"/>
    <s v="Yes"/>
    <n v="0"/>
    <s v="Camp"/>
    <x v="0"/>
    <s v="Muslim"/>
    <n v="20.185917"/>
    <n v="92.831000000000003"/>
    <s v="MMR012CMP092"/>
    <x v="0"/>
    <n v="88"/>
    <n v="397"/>
    <n v="485"/>
    <m/>
    <m/>
    <m/>
    <m/>
    <n v="657"/>
    <n v="3906"/>
  </r>
  <r>
    <x v="0"/>
    <x v="2"/>
    <x v="2"/>
    <s v="OFDA"/>
    <x v="0"/>
    <x v="0"/>
    <x v="0"/>
    <x v="9"/>
    <n v="400"/>
    <n v="2446"/>
    <n v="6.1150000000000002"/>
    <d v="2021-06-01T00:00:00"/>
    <d v="2022-05-31T00:00:00"/>
    <m/>
    <n v="41"/>
    <n v="42"/>
    <m/>
    <m/>
    <m/>
    <m/>
    <m/>
    <m/>
    <m/>
    <m/>
    <m/>
    <m/>
    <m/>
    <m/>
    <n v="150"/>
    <n v="150"/>
    <m/>
    <m/>
    <m/>
    <m/>
    <m/>
    <n v="3"/>
    <n v="9"/>
    <m/>
    <m/>
    <x v="0"/>
    <m/>
    <m/>
    <m/>
    <m/>
    <m/>
    <m/>
    <m/>
    <m/>
    <m/>
    <m/>
    <m/>
    <m/>
    <m/>
    <m/>
    <m/>
    <m/>
    <m/>
    <m/>
    <m/>
    <m/>
    <m/>
    <m/>
    <m/>
    <s v="no test"/>
    <s v="no test"/>
    <x v="0"/>
    <n v="1"/>
    <n v="2446"/>
    <n v="4.8920000000000003"/>
    <n v="0"/>
    <n v="0"/>
    <n v="5"/>
    <n v="0.10799999999999965"/>
    <n v="1"/>
    <n v="2446"/>
    <n v="16.306666666666668"/>
    <n v="0"/>
    <n v="0"/>
    <n v="122"/>
    <n v="0"/>
    <n v="0"/>
    <n v="0"/>
    <n v="0"/>
    <n v="0"/>
    <n v="0"/>
    <n v="0"/>
    <n v="0"/>
    <n v="0"/>
    <n v="1"/>
    <n v="0"/>
    <n v="0"/>
    <s v="No"/>
    <n v="0"/>
    <n v="0"/>
    <n v="0"/>
    <n v="0"/>
    <n v="0"/>
    <n v="0"/>
    <s v="Camp"/>
    <x v="0"/>
    <s v="Muslim"/>
    <n v="20.207284999999999"/>
    <n v="92.788177000000005"/>
    <s v="MMR012CMP045"/>
    <x v="0"/>
    <n v="0"/>
    <n v="0"/>
    <n v="0"/>
    <m/>
    <m/>
    <m/>
    <m/>
    <n v="0"/>
    <n v="0"/>
  </r>
  <r>
    <x v="0"/>
    <x v="1"/>
    <x v="1"/>
    <s v="DFID/HARP"/>
    <x v="0"/>
    <x v="0"/>
    <x v="0"/>
    <x v="10"/>
    <n v="1013"/>
    <n v="5950"/>
    <n v="5.8736426456071076"/>
    <d v="2021-01-01T00:00:00"/>
    <d v="2022-01-31T00:00:00"/>
    <m/>
    <n v="59"/>
    <n v="68"/>
    <m/>
    <m/>
    <m/>
    <m/>
    <m/>
    <m/>
    <m/>
    <m/>
    <m/>
    <m/>
    <m/>
    <m/>
    <n v="242"/>
    <n v="339"/>
    <m/>
    <m/>
    <m/>
    <m/>
    <m/>
    <n v="4"/>
    <n v="38"/>
    <n v="21"/>
    <m/>
    <x v="0"/>
    <m/>
    <m/>
    <m/>
    <m/>
    <m/>
    <m/>
    <m/>
    <m/>
    <m/>
    <n v="3"/>
    <m/>
    <m/>
    <m/>
    <m/>
    <m/>
    <m/>
    <m/>
    <m/>
    <m/>
    <m/>
    <m/>
    <m/>
    <m/>
    <s v="no test"/>
    <s v="no test"/>
    <x v="0"/>
    <n v="1"/>
    <n v="5950"/>
    <n v="11.9"/>
    <n v="0"/>
    <n v="0"/>
    <n v="12"/>
    <n v="9.9999999999999645E-2"/>
    <n v="0.83327731092436974"/>
    <n v="4958"/>
    <n v="24.58677685950413"/>
    <n v="1050"/>
    <n v="0"/>
    <n v="298"/>
    <n v="0"/>
    <n v="0.16672268907563026"/>
    <n v="0.28613569321533922"/>
    <n v="0"/>
    <n v="0"/>
    <n v="0"/>
    <n v="0"/>
    <n v="0"/>
    <n v="0"/>
    <n v="1"/>
    <n v="0"/>
    <n v="0"/>
    <s v="No"/>
    <n v="0"/>
    <n v="0"/>
    <n v="1050"/>
    <n v="0"/>
    <s v="Yes"/>
    <n v="0"/>
    <s v="Camp"/>
    <x v="0"/>
    <s v="Muslim"/>
    <n v="20.179939999999998"/>
    <n v="92.831879000000001"/>
    <s v="MMR012CMP048"/>
    <x v="0"/>
    <n v="250"/>
    <n v="699"/>
    <n v="949"/>
    <m/>
    <m/>
    <m/>
    <m/>
    <n v="1019"/>
    <n v="6906"/>
  </r>
  <r>
    <x v="0"/>
    <x v="5"/>
    <x v="5"/>
    <s v="BHA-USAID"/>
    <x v="0"/>
    <x v="3"/>
    <x v="0"/>
    <x v="11"/>
    <n v="716"/>
    <n v="2920"/>
    <n v="4.0782122905027931"/>
    <d v="2020-05-01T00:00:00"/>
    <d v="2021-04-30T00:00:00"/>
    <m/>
    <m/>
    <m/>
    <n v="6"/>
    <n v="6"/>
    <m/>
    <m/>
    <m/>
    <m/>
    <m/>
    <m/>
    <m/>
    <m/>
    <m/>
    <m/>
    <n v="642"/>
    <n v="642"/>
    <m/>
    <m/>
    <m/>
    <m/>
    <m/>
    <n v="6"/>
    <m/>
    <n v="4"/>
    <n v="1"/>
    <x v="1"/>
    <m/>
    <m/>
    <m/>
    <m/>
    <m/>
    <m/>
    <m/>
    <m/>
    <m/>
    <m/>
    <m/>
    <m/>
    <m/>
    <m/>
    <m/>
    <m/>
    <m/>
    <m/>
    <m/>
    <m/>
    <m/>
    <m/>
    <m/>
    <s v="no test"/>
    <s v="no test"/>
    <x v="0"/>
    <n v="0"/>
    <n v="0"/>
    <n v="0"/>
    <n v="1"/>
    <n v="2920"/>
    <n v="6"/>
    <n v="6"/>
    <n v="1"/>
    <n v="2920"/>
    <n v="4.5482866043613708"/>
    <n v="200"/>
    <n v="50"/>
    <n v="146"/>
    <n v="0"/>
    <n v="0"/>
    <n v="0"/>
    <n v="0"/>
    <n v="0"/>
    <n v="0"/>
    <n v="0"/>
    <n v="0"/>
    <n v="0"/>
    <n v="1"/>
    <n v="0"/>
    <n v="0"/>
    <s v="No"/>
    <n v="0"/>
    <n v="0"/>
    <n v="200"/>
    <n v="50"/>
    <s v="Yes"/>
    <s v="RI"/>
    <s v="Camp"/>
    <x v="0"/>
    <s v="Muslim"/>
    <n v="20.037655000000001"/>
    <n v="93.370037999999994"/>
    <s v="MMR012CMP014"/>
    <x v="0"/>
    <n v="73"/>
    <n v="318"/>
    <n v="391"/>
    <m/>
    <m/>
    <m/>
    <m/>
    <n v="747"/>
    <n v="3495"/>
  </r>
  <r>
    <x v="0"/>
    <x v="4"/>
    <x v="4"/>
    <s v="ECHO, OFDA, CDC "/>
    <x v="0"/>
    <x v="2"/>
    <x v="0"/>
    <x v="12"/>
    <n v="1076"/>
    <n v="5024"/>
    <n v="4.6691449814126393"/>
    <d v="2019-03-01T00:00:00"/>
    <d v="2022-02-28T00:00:00"/>
    <m/>
    <m/>
    <m/>
    <n v="9"/>
    <n v="9"/>
    <m/>
    <n v="5024"/>
    <m/>
    <m/>
    <m/>
    <m/>
    <m/>
    <m/>
    <m/>
    <m/>
    <n v="121"/>
    <n v="154"/>
    <m/>
    <m/>
    <n v="0.99"/>
    <n v="0.98"/>
    <n v="0.98"/>
    <n v="25"/>
    <n v="120"/>
    <m/>
    <n v="2"/>
    <x v="0"/>
    <s v="The result of percentage indicators were from the KAP survey conducted in Sep 2021. The next survey will be done in April 2022."/>
    <n v="974"/>
    <n v="1090"/>
    <n v="1516"/>
    <n v="1444"/>
    <n v="1059"/>
    <n v="2118"/>
    <m/>
    <n v="0.79"/>
    <m/>
    <s v="Distribution done in March covering 3 months"/>
    <n v="0.99"/>
    <n v="0.99"/>
    <n v="0.95"/>
    <n v="1"/>
    <m/>
    <m/>
    <m/>
    <m/>
    <m/>
    <m/>
    <m/>
    <m/>
    <s v="no test"/>
    <s v="no test"/>
    <x v="0"/>
    <n v="1"/>
    <n v="5024"/>
    <n v="10.048"/>
    <n v="0"/>
    <n v="0"/>
    <n v="10"/>
    <n v="0"/>
    <n v="0.60509554140127386"/>
    <n v="3040"/>
    <n v="41.52066115702479"/>
    <n v="0"/>
    <n v="100"/>
    <n v="251"/>
    <n v="97"/>
    <n v="0.39490445859872614"/>
    <n v="0.21428571428571427"/>
    <n v="5024"/>
    <n v="4944.6245353159848"/>
    <n v="2118"/>
    <n v="4944.6245353159848"/>
    <n v="5024"/>
    <n v="1"/>
    <n v="0"/>
    <n v="1"/>
    <n v="0.98420074349442377"/>
    <s v="No"/>
    <n v="0.95"/>
    <n v="0"/>
    <n v="0"/>
    <n v="100"/>
    <s v="Yes"/>
    <s v="LWF"/>
    <s v="Camp"/>
    <x v="1"/>
    <s v="Muslim"/>
    <n v="20.073437999999999"/>
    <n v="93.154551999999995"/>
    <s v="MMR012CMP017"/>
    <x v="0"/>
    <m/>
    <m/>
    <n v="0"/>
    <m/>
    <m/>
    <m/>
    <m/>
    <n v="1059"/>
    <n v="5004"/>
  </r>
  <r>
    <x v="0"/>
    <x v="0"/>
    <x v="0"/>
    <s v="DFID/HARP"/>
    <x v="0"/>
    <x v="0"/>
    <x v="0"/>
    <x v="13"/>
    <n v="1331"/>
    <n v="7033"/>
    <n v="5.2839969947407965"/>
    <d v="2022-04-01T00:00:00"/>
    <d v="2022-06-30T00:00:00"/>
    <m/>
    <n v="69"/>
    <n v="79"/>
    <m/>
    <m/>
    <m/>
    <m/>
    <m/>
    <m/>
    <m/>
    <m/>
    <m/>
    <m/>
    <m/>
    <m/>
    <n v="265"/>
    <n v="328"/>
    <m/>
    <m/>
    <m/>
    <m/>
    <m/>
    <n v="12"/>
    <m/>
    <m/>
    <m/>
    <x v="0"/>
    <m/>
    <m/>
    <m/>
    <m/>
    <m/>
    <n v="1331"/>
    <n v="2662"/>
    <m/>
    <m/>
    <m/>
    <m/>
    <m/>
    <m/>
    <m/>
    <m/>
    <m/>
    <n v="328"/>
    <m/>
    <m/>
    <m/>
    <m/>
    <m/>
    <m/>
    <s v="no test"/>
    <s v="no test"/>
    <x v="0"/>
    <n v="1"/>
    <n v="7033"/>
    <n v="14.066000000000001"/>
    <n v="0"/>
    <n v="0"/>
    <n v="14"/>
    <n v="0"/>
    <n v="0.78771505758566762"/>
    <n v="5540"/>
    <n v="26.539622641509435"/>
    <n v="0"/>
    <n v="0"/>
    <n v="352"/>
    <n v="24"/>
    <n v="0.21228494241433238"/>
    <n v="0.19207317073170732"/>
    <n v="0"/>
    <n v="7033"/>
    <n v="2662"/>
    <n v="7033"/>
    <n v="7033"/>
    <n v="1"/>
    <n v="0"/>
    <n v="0"/>
    <n v="1"/>
    <s v="No"/>
    <n v="0"/>
    <n v="328"/>
    <n v="0"/>
    <n v="0"/>
    <s v="Yes"/>
    <n v="0"/>
    <s v="Camp"/>
    <x v="0"/>
    <s v="Muslim"/>
    <n v="20.181405999999999"/>
    <n v="92.807552000000001"/>
    <s v="MMR012CMP114"/>
    <x v="0"/>
    <m/>
    <m/>
    <n v="0"/>
    <m/>
    <m/>
    <m/>
    <m/>
    <n v="1346"/>
    <n v="8414"/>
  </r>
  <r>
    <x v="0"/>
    <x v="0"/>
    <x v="0"/>
    <s v="DFID/HARP"/>
    <x v="0"/>
    <x v="0"/>
    <x v="0"/>
    <x v="14"/>
    <n v="1850"/>
    <n v="11056"/>
    <n v="5.9762162162162165"/>
    <d v="2022-04-01T00:00:00"/>
    <d v="2022-06-30T00:00:00"/>
    <m/>
    <n v="79"/>
    <n v="86"/>
    <m/>
    <m/>
    <m/>
    <m/>
    <m/>
    <m/>
    <m/>
    <m/>
    <m/>
    <m/>
    <m/>
    <m/>
    <n v="438"/>
    <n v="570"/>
    <n v="213"/>
    <n v="191"/>
    <s v=" ,"/>
    <n v="0.94"/>
    <n v="0.77"/>
    <n v="12"/>
    <n v="68"/>
    <n v="7"/>
    <m/>
    <x v="0"/>
    <m/>
    <n v="45"/>
    <n v="25"/>
    <n v="8"/>
    <n v="135"/>
    <n v="1850"/>
    <n v="3700"/>
    <n v="0.96"/>
    <n v="1"/>
    <n v="0"/>
    <m/>
    <n v="1"/>
    <n v="1"/>
    <n v="1"/>
    <n v="0.79"/>
    <m/>
    <n v="570"/>
    <m/>
    <m/>
    <m/>
    <m/>
    <m/>
    <m/>
    <s v="no test"/>
    <s v="no test"/>
    <x v="0"/>
    <n v="1"/>
    <n v="11056"/>
    <n v="22.111999999999998"/>
    <n v="0"/>
    <n v="0"/>
    <n v="22"/>
    <n v="0"/>
    <n v="0.82018813314037631"/>
    <n v="9068"/>
    <n v="25.24200913242009"/>
    <n v="350"/>
    <n v="0"/>
    <n v="553"/>
    <n v="0"/>
    <n v="0.17981186685962369"/>
    <n v="0.23157894736842105"/>
    <n v="213"/>
    <n v="11056"/>
    <n v="3700"/>
    <n v="11056"/>
    <n v="11056"/>
    <n v="1"/>
    <n v="0"/>
    <n v="1.9265557163531115E-2"/>
    <n v="1"/>
    <s v="No"/>
    <n v="1"/>
    <n v="570"/>
    <n v="350"/>
    <n v="0"/>
    <s v="Yes"/>
    <n v="0"/>
    <s v="Camp"/>
    <x v="0"/>
    <s v="Muslim"/>
    <n v="20.16846"/>
    <n v="92.827427"/>
    <s v="MMR012CMP041"/>
    <x v="0"/>
    <m/>
    <m/>
    <n v="0"/>
    <m/>
    <m/>
    <m/>
    <m/>
    <n v="1713"/>
    <n v="11460"/>
  </r>
  <r>
    <x v="0"/>
    <x v="1"/>
    <x v="1"/>
    <s v="DFID/HARP"/>
    <x v="0"/>
    <x v="0"/>
    <x v="0"/>
    <x v="15"/>
    <n v="2280"/>
    <n v="11564"/>
    <n v="5.0719298245614031"/>
    <d v="2021-01-01T00:00:00"/>
    <d v="2022-01-31T00:00:00"/>
    <m/>
    <n v="192"/>
    <n v="193"/>
    <m/>
    <m/>
    <m/>
    <m/>
    <m/>
    <m/>
    <m/>
    <m/>
    <m/>
    <m/>
    <m/>
    <m/>
    <n v="430"/>
    <n v="520"/>
    <m/>
    <m/>
    <m/>
    <m/>
    <m/>
    <n v="12"/>
    <n v="51"/>
    <n v="40"/>
    <m/>
    <x v="0"/>
    <m/>
    <m/>
    <m/>
    <m/>
    <m/>
    <m/>
    <m/>
    <m/>
    <m/>
    <n v="32"/>
    <m/>
    <m/>
    <m/>
    <m/>
    <m/>
    <m/>
    <m/>
    <m/>
    <m/>
    <m/>
    <m/>
    <m/>
    <m/>
    <s v="no test"/>
    <s v="no test"/>
    <x v="0"/>
    <n v="1"/>
    <n v="11564"/>
    <n v="23.128"/>
    <n v="0"/>
    <n v="0"/>
    <n v="23"/>
    <n v="0"/>
    <n v="0.76885160843998612"/>
    <n v="8891"/>
    <n v="26.893023255813954"/>
    <n v="2000"/>
    <n v="0"/>
    <n v="578"/>
    <n v="58"/>
    <n v="0.23114839156001388"/>
    <n v="0.17307692307692307"/>
    <n v="0"/>
    <n v="0"/>
    <n v="0"/>
    <n v="0"/>
    <n v="0"/>
    <n v="0"/>
    <n v="1"/>
    <n v="0"/>
    <n v="0"/>
    <s v="No"/>
    <n v="0"/>
    <n v="0"/>
    <n v="2000"/>
    <n v="0"/>
    <s v="Yes"/>
    <n v="0"/>
    <s v="Camp"/>
    <x v="0"/>
    <s v="Muslim"/>
    <n v="20.202525000000001"/>
    <n v="92.792479999999998"/>
    <s v="MMR012CMP045"/>
    <x v="0"/>
    <n v="114"/>
    <n v="1144"/>
    <n v="1258"/>
    <m/>
    <m/>
    <m/>
    <m/>
    <n v="2678"/>
    <n v="14788"/>
  </r>
  <r>
    <x v="0"/>
    <x v="1"/>
    <x v="1"/>
    <s v="DFID/HARP"/>
    <x v="0"/>
    <x v="0"/>
    <x v="0"/>
    <x v="16"/>
    <n v="774"/>
    <n v="3095"/>
    <n v="3.9987080103359172"/>
    <d v="2021-01-01T00:00:00"/>
    <d v="2022-01-31T00:00:00"/>
    <m/>
    <n v="59"/>
    <n v="80"/>
    <m/>
    <m/>
    <m/>
    <m/>
    <m/>
    <m/>
    <m/>
    <m/>
    <m/>
    <m/>
    <m/>
    <m/>
    <n v="140"/>
    <n v="187"/>
    <m/>
    <m/>
    <m/>
    <m/>
    <m/>
    <m/>
    <n v="19"/>
    <n v="2"/>
    <m/>
    <x v="0"/>
    <m/>
    <m/>
    <m/>
    <m/>
    <m/>
    <m/>
    <m/>
    <m/>
    <m/>
    <m/>
    <m/>
    <m/>
    <m/>
    <m/>
    <m/>
    <m/>
    <m/>
    <m/>
    <m/>
    <m/>
    <m/>
    <m/>
    <m/>
    <s v="no test"/>
    <s v="no test"/>
    <x v="0"/>
    <n v="1"/>
    <n v="3095"/>
    <n v="6.19"/>
    <n v="0"/>
    <n v="0"/>
    <n v="6"/>
    <n v="0"/>
    <n v="0.91082390953150238"/>
    <n v="2819"/>
    <n v="22.107142857142858"/>
    <n v="100"/>
    <n v="0"/>
    <n v="155"/>
    <n v="0"/>
    <n v="8.9176090468497615E-2"/>
    <n v="0.25133689839572193"/>
    <n v="0"/>
    <n v="0"/>
    <n v="0"/>
    <n v="0"/>
    <n v="0"/>
    <n v="0"/>
    <n v="1"/>
    <n v="0"/>
    <n v="0"/>
    <s v="No"/>
    <n v="0"/>
    <n v="0"/>
    <n v="100"/>
    <n v="0"/>
    <s v="Yes"/>
    <n v="0"/>
    <s v="Camp"/>
    <x v="0"/>
    <s v="Muslim"/>
    <n v="20.206778"/>
    <n v="92.774193999999994"/>
    <s v="MMR012CMP098"/>
    <x v="0"/>
    <n v="42"/>
    <n v="432"/>
    <n v="474"/>
    <m/>
    <m/>
    <m/>
    <m/>
    <n v="777"/>
    <n v="4735"/>
  </r>
  <r>
    <x v="0"/>
    <x v="4"/>
    <x v="4"/>
    <s v="ECHO, OFDA, CDC "/>
    <x v="0"/>
    <x v="2"/>
    <x v="0"/>
    <x v="17"/>
    <n v="1064"/>
    <n v="5137"/>
    <n v="4.8280075187969924"/>
    <d v="2019-03-01T00:00:00"/>
    <d v="2022-02-28T00:00:00"/>
    <m/>
    <m/>
    <m/>
    <n v="7"/>
    <n v="7"/>
    <m/>
    <n v="5137"/>
    <m/>
    <m/>
    <m/>
    <m/>
    <m/>
    <m/>
    <m/>
    <m/>
    <n v="148"/>
    <n v="189"/>
    <m/>
    <m/>
    <n v="0.99"/>
    <n v="0.98"/>
    <n v="0.98"/>
    <n v="34"/>
    <n v="80"/>
    <m/>
    <n v="3"/>
    <x v="0"/>
    <s v="The result of percentage indicators were from the KAP survey conducted in Sep 2021. The next survey will be done in April 2022."/>
    <n v="1051"/>
    <n v="1120"/>
    <n v="1582"/>
    <n v="1384"/>
    <n v="1064"/>
    <n v="2128"/>
    <m/>
    <n v="0.79"/>
    <m/>
    <s v="Distribution done March covering 3 months"/>
    <n v="0.99"/>
    <n v="0.98"/>
    <n v="0.96"/>
    <n v="1"/>
    <m/>
    <m/>
    <m/>
    <m/>
    <m/>
    <m/>
    <m/>
    <m/>
    <s v="no test"/>
    <s v="no test"/>
    <x v="0"/>
    <n v="1"/>
    <n v="5137"/>
    <n v="10.273999999999999"/>
    <n v="0"/>
    <n v="0"/>
    <n v="10"/>
    <n v="0"/>
    <n v="0.72415806891181622"/>
    <n v="3720"/>
    <n v="34.70945945945946"/>
    <n v="0"/>
    <n v="150"/>
    <n v="257"/>
    <n v="68"/>
    <n v="0.27584193108818378"/>
    <n v="0.21693121693121692"/>
    <n v="5137"/>
    <n v="5137"/>
    <n v="2128"/>
    <n v="5137"/>
    <n v="5137"/>
    <n v="1"/>
    <n v="0"/>
    <n v="1"/>
    <n v="1"/>
    <s v="No"/>
    <n v="0.96"/>
    <n v="0"/>
    <n v="0"/>
    <n v="150"/>
    <s v="Yes"/>
    <s v="LWF"/>
    <s v="Camp"/>
    <x v="0"/>
    <s v="Muslim"/>
    <n v="20.073437999999999"/>
    <n v="93.154551999999995"/>
    <s v="MMR012CMP017"/>
    <x v="0"/>
    <m/>
    <m/>
    <n v="0"/>
    <m/>
    <m/>
    <m/>
    <m/>
    <n v="982"/>
    <n v="4828"/>
  </r>
  <r>
    <x v="0"/>
    <x v="2"/>
    <x v="2"/>
    <s v="BHA-USAID"/>
    <x v="0"/>
    <x v="2"/>
    <x v="0"/>
    <x v="18"/>
    <n v="729"/>
    <n v="2516"/>
    <n v="3.4513031550068587"/>
    <d v="2021-06-01T00:00:00"/>
    <d v="2022-05-31T00:00:00"/>
    <m/>
    <m/>
    <m/>
    <n v="15"/>
    <n v="16"/>
    <m/>
    <n v="2516"/>
    <m/>
    <m/>
    <m/>
    <m/>
    <m/>
    <m/>
    <m/>
    <s v="water testing in STM- IDP, we distributed chlorination water and tested FRC result is 100&amp; good."/>
    <n v="362"/>
    <n v="358"/>
    <n v="87"/>
    <n v="119"/>
    <m/>
    <m/>
    <m/>
    <n v="1"/>
    <m/>
    <m/>
    <m/>
    <x v="0"/>
    <m/>
    <n v="1125"/>
    <n v="1725"/>
    <n v="372"/>
    <n v="446"/>
    <n v="729"/>
    <n v="771"/>
    <n v="1"/>
    <m/>
    <m/>
    <m/>
    <m/>
    <m/>
    <m/>
    <m/>
    <m/>
    <m/>
    <m/>
    <m/>
    <m/>
    <m/>
    <m/>
    <m/>
    <s v="no test"/>
    <s v="no test"/>
    <x v="0"/>
    <n v="1"/>
    <n v="2516"/>
    <n v="5.032"/>
    <n v="0"/>
    <n v="0"/>
    <n v="5"/>
    <n v="0"/>
    <n v="1"/>
    <n v="2516"/>
    <n v="6.9502762430939224"/>
    <n v="0"/>
    <n v="0"/>
    <n v="126"/>
    <n v="0"/>
    <n v="0"/>
    <n v="-1.11731843575419E-2"/>
    <n v="3668"/>
    <n v="2516"/>
    <n v="771"/>
    <n v="2516"/>
    <n v="3668"/>
    <n v="1"/>
    <n v="0"/>
    <n v="1.4578696343402227"/>
    <n v="1"/>
    <s v="No"/>
    <n v="0"/>
    <n v="0"/>
    <n v="0"/>
    <n v="0"/>
    <s v="Yes"/>
    <s v="DRC"/>
    <s v="Camp"/>
    <x v="0"/>
    <s v="Muslim"/>
    <n v="20.064226000000001"/>
    <n v="92.993758999999997"/>
    <s v="MMR012CMP019"/>
    <x v="0"/>
    <m/>
    <m/>
    <n v="0"/>
    <m/>
    <m/>
    <m/>
    <m/>
    <n v="682"/>
    <n v="2588"/>
  </r>
  <r>
    <x v="0"/>
    <x v="1"/>
    <x v="1"/>
    <s v="DFID/HARP"/>
    <x v="0"/>
    <x v="0"/>
    <x v="0"/>
    <x v="19"/>
    <n v="2728"/>
    <n v="13302"/>
    <n v="4.8760997067448679"/>
    <d v="2021-01-01T00:00:00"/>
    <d v="2022-01-31T00:00:00"/>
    <m/>
    <n v="205"/>
    <n v="226"/>
    <m/>
    <m/>
    <m/>
    <m/>
    <m/>
    <m/>
    <m/>
    <m/>
    <m/>
    <m/>
    <m/>
    <m/>
    <n v="546"/>
    <n v="689"/>
    <m/>
    <m/>
    <m/>
    <m/>
    <m/>
    <n v="20"/>
    <n v="120"/>
    <n v="34"/>
    <m/>
    <x v="0"/>
    <m/>
    <m/>
    <m/>
    <m/>
    <m/>
    <m/>
    <m/>
    <m/>
    <m/>
    <n v="2"/>
    <m/>
    <m/>
    <m/>
    <m/>
    <m/>
    <m/>
    <m/>
    <m/>
    <m/>
    <m/>
    <m/>
    <m/>
    <m/>
    <s v="no test"/>
    <s v="no test"/>
    <x v="0"/>
    <n v="1"/>
    <n v="13302"/>
    <n v="26.603999999999999"/>
    <n v="0"/>
    <n v="0"/>
    <n v="27"/>
    <n v="0.3960000000000008"/>
    <n v="0.86002104946624569"/>
    <n v="11440"/>
    <n v="24.362637362637361"/>
    <n v="1700"/>
    <n v="0"/>
    <n v="665"/>
    <n v="0"/>
    <n v="0.13997895053375431"/>
    <n v="0.20754716981132076"/>
    <n v="0"/>
    <n v="0"/>
    <n v="0"/>
    <n v="0"/>
    <n v="0"/>
    <n v="0"/>
    <n v="1"/>
    <n v="0"/>
    <n v="0"/>
    <s v="No"/>
    <n v="0"/>
    <n v="0"/>
    <n v="1700"/>
    <n v="0"/>
    <s v="Yes"/>
    <n v="0"/>
    <s v="Camp"/>
    <x v="0"/>
    <s v="Muslim"/>
    <n v="20.18994"/>
    <n v="92.798880999999994"/>
    <s v="MMR012CMP115"/>
    <x v="0"/>
    <n v="168"/>
    <n v="1744"/>
    <n v="1912"/>
    <m/>
    <m/>
    <m/>
    <m/>
    <n v="2640"/>
    <n v="15778"/>
  </r>
  <r>
    <x v="0"/>
    <x v="0"/>
    <x v="0"/>
    <s v="DFID/HARP"/>
    <x v="0"/>
    <x v="0"/>
    <x v="0"/>
    <x v="20"/>
    <n v="1139"/>
    <n v="6016"/>
    <n v="5.2818261633011412"/>
    <d v="2021-01-01T00:00:00"/>
    <d v="2022-01-31T00:00:00"/>
    <m/>
    <n v="39"/>
    <n v="42"/>
    <m/>
    <m/>
    <m/>
    <m/>
    <m/>
    <m/>
    <m/>
    <m/>
    <m/>
    <m/>
    <m/>
    <m/>
    <n v="218"/>
    <n v="253"/>
    <m/>
    <m/>
    <m/>
    <m/>
    <m/>
    <m/>
    <n v="26"/>
    <n v="2"/>
    <m/>
    <x v="0"/>
    <m/>
    <m/>
    <m/>
    <m/>
    <m/>
    <m/>
    <m/>
    <m/>
    <m/>
    <n v="0"/>
    <m/>
    <m/>
    <m/>
    <m/>
    <m/>
    <m/>
    <m/>
    <m/>
    <m/>
    <m/>
    <m/>
    <m/>
    <m/>
    <s v="no test"/>
    <s v="no test"/>
    <x v="0"/>
    <n v="1"/>
    <n v="6016"/>
    <n v="12.032"/>
    <n v="0"/>
    <n v="0"/>
    <n v="12"/>
    <n v="0"/>
    <n v="0.72905585106382975"/>
    <n v="4386"/>
    <n v="27.596330275229359"/>
    <n v="100"/>
    <n v="0"/>
    <n v="301"/>
    <n v="48"/>
    <n v="0.27094414893617025"/>
    <n v="0.13833992094861661"/>
    <n v="0"/>
    <n v="0"/>
    <n v="0"/>
    <n v="0"/>
    <n v="0"/>
    <n v="0"/>
    <n v="1"/>
    <n v="0"/>
    <n v="0"/>
    <s v="No"/>
    <n v="0"/>
    <n v="0"/>
    <n v="100"/>
    <n v="0"/>
    <s v="Yes"/>
    <n v="0"/>
    <s v="Camp"/>
    <x v="2"/>
    <s v="Muslim"/>
    <n v="20.1585"/>
    <n v="92.839416999999997"/>
    <s v="MMR012CMP046"/>
    <x v="0"/>
    <n v="365"/>
    <n v="800"/>
    <n v="1165"/>
    <m/>
    <m/>
    <m/>
    <m/>
    <n v="2062"/>
    <n v="125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4E5DC9-2EB5-424E-8B68-102D20D73515}" name="PivotTable3" cacheId="6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L3:M25" firstHeaderRow="1" firstDataRow="2" firstDataCol="1"/>
  <pivotFields count="122">
    <pivotField axis="axisCol" showAll="0">
      <items count="24">
        <item m="1" x="20"/>
        <item m="1" x="21"/>
        <item m="1" x="7"/>
        <item m="1" x="22"/>
        <item m="1" x="14"/>
        <item m="1" x="16"/>
        <item m="1" x="18"/>
        <item m="1" x="19"/>
        <item m="1" x="3"/>
        <item m="1" x="10"/>
        <item m="1" x="12"/>
        <item m="1" x="15"/>
        <item m="1" x="17"/>
        <item m="1" x="5"/>
        <item m="1" x="8"/>
        <item m="1" x="11"/>
        <item m="1" x="1"/>
        <item m="1" x="13"/>
        <item m="1" x="2"/>
        <item m="1" x="4"/>
        <item m="1" x="6"/>
        <item m="1" x="9"/>
        <item x="0"/>
        <item t="default"/>
      </items>
    </pivotField>
    <pivotField showAll="0"/>
    <pivotField showAll="0"/>
    <pivotField showAll="0"/>
    <pivotField showAll="0"/>
    <pivotField showAll="0"/>
    <pivotField showAll="0"/>
    <pivotField axis="axisRow" showAll="0">
      <items count="975">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5"/>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0"/>
        <item m="1" x="754"/>
        <item m="1" x="569"/>
        <item m="1" x="824"/>
        <item x="1"/>
        <item x="1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2"/>
        <item x="7"/>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4"/>
        <item m="1" x="269"/>
        <item m="1" x="816"/>
        <item m="1" x="218"/>
        <item m="1" x="670"/>
        <item m="1" x="905"/>
        <item m="1" x="520"/>
        <item m="1" x="219"/>
        <item m="1" x="253"/>
        <item m="1" x="329"/>
        <item m="1" x="748"/>
        <item m="1" x="171"/>
        <item m="1" x="696"/>
        <item m="1" x="108"/>
        <item m="1" x="836"/>
        <item m="1" x="883"/>
        <item x="6"/>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8"/>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2"/>
        <item x="17"/>
        <item m="1" x="866"/>
        <item m="1" x="713"/>
        <item m="1" x="810"/>
        <item m="1" x="193"/>
        <item m="1" x="132"/>
        <item m="1" x="773"/>
        <item m="1" x="209"/>
        <item m="1" x="455"/>
        <item m="1" x="925"/>
        <item m="1" x="435"/>
        <item m="1" x="766"/>
        <item m="1" x="186"/>
        <item m="1" x="391"/>
        <item m="1" x="117"/>
        <item m="1" x="281"/>
        <item m="1" x="945"/>
        <item m="1" x="489"/>
        <item m="1" x="362"/>
        <item m="1" x="111"/>
        <item x="16"/>
        <item m="1" x="393"/>
        <item x="19"/>
        <item x="3"/>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9"/>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5"/>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8"/>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20"/>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1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64"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0"/>
  </colFields>
  <colItems count="1">
    <i>
      <x v="22"/>
    </i>
  </colItems>
  <dataFields count="1">
    <dataField name="Sum of #_Water samples_Tested_at_water_source" fld="20" baseField="0" baseItem="0"/>
  </dataFields>
  <formats count="4">
    <format dxfId="861">
      <pivotArea outline="0" collapsedLevelsAreSubtotals="1" fieldPosition="0"/>
    </format>
    <format dxfId="860">
      <pivotArea field="0" type="button" dataOnly="0" labelOnly="1" outline="0" axis="axisCol" fieldPosition="0"/>
    </format>
    <format dxfId="859">
      <pivotArea type="topRight" dataOnly="0" labelOnly="1" outline="0" fieldPosition="0"/>
    </format>
    <format dxfId="858">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0">
  <location ref="P121:R125" firstHeaderRow="0" firstDataRow="1" firstDataCol="1" rowPageCount="3"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04" hier="-1"/>
  </pageFields>
  <dataFields count="2">
    <dataField name="Target (20:1)" fld="78" baseField="0" baseItem="0"/>
    <dataField name="Reached" fld="28" baseField="6" baseItem="0"/>
  </dataFields>
  <formats count="12">
    <format dxfId="130">
      <pivotArea field="4" type="button" dataOnly="0" labelOnly="1" outline="0" axis="axisPage" fieldPosition="1"/>
    </format>
    <format dxfId="129">
      <pivotArea type="all" dataOnly="0" outline="0" fieldPosition="0"/>
    </format>
    <format dxfId="128">
      <pivotArea outline="0" collapsedLevelsAreSubtotals="1" fieldPosition="0"/>
    </format>
    <format dxfId="127">
      <pivotArea type="origin" dataOnly="0" labelOnly="1" outline="0" fieldPosition="0"/>
    </format>
    <format dxfId="126">
      <pivotArea type="topRight" dataOnly="0" labelOnly="1" outline="0" fieldPosition="0"/>
    </format>
    <format dxfId="125">
      <pivotArea field="-2" type="button" dataOnly="0" labelOnly="1" outline="0" axis="axisCol" fieldPosition="0"/>
    </format>
    <format dxfId="124">
      <pivotArea type="all" dataOnly="0" outline="0" fieldPosition="0"/>
    </format>
    <format dxfId="123">
      <pivotArea outline="0" collapsedLevelsAreSubtotals="1" fieldPosition="0"/>
    </format>
    <format dxfId="122">
      <pivotArea dataOnly="0" labelOnly="1" outline="0" fieldPosition="0">
        <references count="1">
          <reference field="4294967294" count="1">
            <x v="0"/>
          </reference>
        </references>
      </pivotArea>
    </format>
    <format dxfId="121">
      <pivotArea field="4" type="button" dataOnly="0" labelOnly="1" outline="0" axis="axisPage" fieldPosition="1"/>
    </format>
    <format dxfId="120">
      <pivotArea dataOnly="0" labelOnly="1" outline="0" fieldPosition="0">
        <references count="1">
          <reference field="4" count="1">
            <x v="1"/>
          </reference>
        </references>
      </pivotArea>
    </format>
    <format dxfId="119">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67"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02:C109" firstHeaderRow="1" firstDataRow="2" firstDataCol="1" rowPageCount="3"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1">
        <item n="# in active camps (20:1)" x="0"/>
        <item m="1" x="2"/>
        <item m="1" x="9"/>
        <item h="1" m="1" x="10"/>
        <item m="1" x="8"/>
        <item m="1" x="1"/>
        <item n="# in villages (6: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04" hier="-1"/>
  </pageFields>
  <dataFields count="6">
    <dataField name="# latrines (target)" fld="78" baseField="0" baseItem="0"/>
    <dataField name="Sum of #_latrines_repaired" fld="30" baseField="6" baseItem="0"/>
    <dataField name="Sum of #_Existing_latrines" fld="29" baseField="0" baseItem="0"/>
    <dataField name="Sum of #_Functional_adult_latrines" fld="28" baseField="6" baseItem="0"/>
    <dataField name="Sum of #_of_PWD_with_adapted_sanitation_option" fld="36" baseField="6" baseItem="0"/>
    <dataField name="Sum of #_of_functional_children_latrines" fld="35" baseField="6" baseItem="0"/>
  </dataFields>
  <formats count="12">
    <format dxfId="142">
      <pivotArea field="4" type="button" dataOnly="0" labelOnly="1" outline="0" axis="axisPage" fieldPosition="1"/>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type="topRight" dataOnly="0" labelOnly="1" outline="0" fieldPosition="0"/>
    </format>
    <format dxfId="137">
      <pivotArea field="-2" type="button" dataOnly="0" labelOnly="1" outline="0" axis="axisRow" fieldPosition="0"/>
    </format>
    <format dxfId="136">
      <pivotArea type="all" dataOnly="0" outline="0" fieldPosition="0"/>
    </format>
    <format dxfId="135">
      <pivotArea outline="0" collapsedLevelsAreSubtotals="1" fieldPosition="0"/>
    </format>
    <format dxfId="134">
      <pivotArea dataOnly="0" labelOnly="1" outline="0" fieldPosition="0">
        <references count="1">
          <reference field="4294967294" count="1">
            <x v="0"/>
          </reference>
        </references>
      </pivotArea>
    </format>
    <format dxfId="133">
      <pivotArea field="4" type="button" dataOnly="0" labelOnly="1" outline="0" axis="axisPage" fieldPosition="1"/>
    </format>
    <format dxfId="132">
      <pivotArea dataOnly="0" labelOnly="1" outline="0" fieldPosition="0">
        <references count="1">
          <reference field="4" count="1">
            <x v="1"/>
          </reference>
        </references>
      </pivotArea>
    </format>
    <format dxfId="131">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69"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84]" cap="84"/>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1" level="1">
        <member name="[WWWW].[#_Water samples_Tested_at_HH].&amp;[8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30:D31"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04" hier="-1"/>
  </pageFields>
  <dataFields count="2">
    <dataField name="Coverage" fld="68" baseField="77" baseItem="1" numFmtId="1"/>
    <dataField name="Gap" fld="72" baseField="77" baseItem="1" numFmtId="1"/>
  </dataFields>
  <formats count="11">
    <format dxfId="153">
      <pivotArea type="all" dataOnly="0" outline="0" fieldPosition="0"/>
    </format>
    <format dxfId="152">
      <pivotArea outline="0" collapsedLevelsAreSubtotals="1" fieldPosition="0"/>
    </format>
    <format dxfId="151">
      <pivotArea type="all" dataOnly="0" outline="0" fieldPosition="0"/>
    </format>
    <format dxfId="150">
      <pivotArea dataOnly="0" labelOnly="1" outline="0" fieldPosition="0">
        <references count="1">
          <reference field="4294967294" count="2">
            <x v="0"/>
            <x v="1"/>
          </reference>
        </references>
      </pivotArea>
    </format>
    <format dxfId="149">
      <pivotArea outline="0" fieldPosition="0">
        <references count="1">
          <reference field="4294967294" count="1">
            <x v="0"/>
          </reference>
        </references>
      </pivotArea>
    </format>
    <format dxfId="148">
      <pivotArea outline="0" fieldPosition="0">
        <references count="1">
          <reference field="4294967294" count="1">
            <x v="1"/>
          </reference>
        </references>
      </pivotArea>
    </format>
    <format dxfId="147">
      <pivotArea type="all" dataOnly="0" outline="0" fieldPosition="0"/>
    </format>
    <format dxfId="146">
      <pivotArea outline="0" collapsedLevelsAreSubtotals="1" fieldPosition="0"/>
    </format>
    <format dxfId="145">
      <pivotArea dataOnly="0" labelOnly="1" outline="0" fieldPosition="0">
        <references count="1">
          <reference field="4294967294" count="2">
            <x v="0"/>
            <x v="1"/>
          </reference>
        </references>
      </pivotArea>
    </format>
    <format dxfId="144">
      <pivotArea field="4" type="button" dataOnly="0" labelOnly="1" outline="0" axis="axisPage" fieldPosition="1"/>
    </format>
    <format dxfId="143">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0"/>
        <item x="1"/>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65"/>
  </colFields>
  <colItems count="2">
    <i>
      <x/>
    </i>
    <i>
      <x v="1"/>
    </i>
  </colItems>
  <pageFields count="3">
    <pageField fld="0" hier="-1"/>
    <pageField fld="104" item="0" hier="-1"/>
    <pageField fld="6" hier="-1"/>
  </pageFields>
  <dataFields count="1">
    <dataField name="Count of Warter quality test done" fld="65" subtotal="count" baseField="0" baseItem="0"/>
  </dataFields>
  <formats count="8">
    <format dxfId="161">
      <pivotArea field="4" type="button" dataOnly="0" labelOnly="1" outline="0" axis="axisRow" fieldPosition="0"/>
    </format>
    <format dxfId="160">
      <pivotArea type="all" dataOnly="0" outline="0" fieldPosition="0"/>
    </format>
    <format dxfId="159">
      <pivotArea outline="0" collapsedLevelsAreSubtotals="1" fieldPosition="0"/>
    </format>
    <format dxfId="158">
      <pivotArea field="4" type="button" dataOnly="0" labelOnly="1" outline="0" axis="axisRow" fieldPosition="0"/>
    </format>
    <format dxfId="157">
      <pivotArea dataOnly="0" labelOnly="1" fieldPosition="0">
        <references count="1">
          <reference field="4" count="0"/>
        </references>
      </pivotArea>
    </format>
    <format dxfId="156">
      <pivotArea type="all" dataOnly="0" outline="0" fieldPosition="0"/>
    </format>
    <format dxfId="155">
      <pivotArea outline="0" collapsedLevelsAreSubtotals="1" fieldPosition="0"/>
    </format>
    <format dxfId="154">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67"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78:L300" firstHeaderRow="0" firstDataRow="1" firstDataCol="4" rowPageCount="1" colPageCount="1"/>
  <pivotFields count="122">
    <pivotField axis="axisPage" compact="0" outline="0" subtotalTop="0" multipleItemSelectionAllowed="1" showAll="0" defaultSubtotal="0">
      <items count="23">
        <item m="1" x="21"/>
        <item m="1" x="7"/>
        <item m="1" x="22"/>
        <item m="1" x="14"/>
        <item m="1" x="3"/>
        <item m="1" x="1"/>
        <item m="1" x="20"/>
        <item m="1" x="16"/>
        <item m="1" x="18"/>
        <item m="1" x="19"/>
        <item m="1" x="10"/>
        <item m="1" x="12"/>
        <item m="1" x="17"/>
        <item m="1" x="15"/>
        <item h="1" m="1" x="5"/>
        <item h="1" m="1" x="8"/>
        <item h="1" m="1" x="11"/>
        <item m="1" x="13"/>
        <item h="1" m="1" x="2"/>
        <item h="1" m="1" x="4"/>
        <item h="1" m="1" x="6"/>
        <item m="1" x="9"/>
        <item x="0"/>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6"/>
        <item x="1"/>
        <item m="1" x="7"/>
        <item m="1" x="12"/>
        <item m="1" x="33"/>
        <item m="1" x="9"/>
        <item m="1" x="15"/>
        <item m="1" x="26"/>
        <item m="1" x="11"/>
        <item m="1" x="20"/>
        <item m="1" x="31"/>
        <item m="1" x="23"/>
        <item m="1" x="35"/>
        <item m="1" x="14"/>
        <item x="3"/>
        <item m="1" x="24"/>
        <item m="1" x="21"/>
        <item m="1" x="27"/>
        <item m="1" x="10"/>
        <item x="2"/>
        <item m="1" x="28"/>
        <item m="1" x="18"/>
        <item m="1" x="38"/>
        <item m="1" x="32"/>
        <item m="1" x="39"/>
        <item x="0"/>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5"/>
        <item m="1" x="835"/>
        <item m="1" x="863"/>
        <item m="1" x="239"/>
        <item m="1" x="716"/>
        <item m="1" x="272"/>
        <item m="1" x="290"/>
        <item m="1" x="288"/>
        <item m="1" x="197"/>
        <item m="1" x="116"/>
        <item m="1" x="915"/>
        <item m="1" x="956"/>
        <item m="1" x="642"/>
        <item m="1" x="346"/>
        <item m="1" x="225"/>
        <item m="1" x="448"/>
        <item m="1" x="273"/>
        <item x="0"/>
        <item m="1" x="754"/>
        <item m="1" x="824"/>
        <item x="1"/>
        <item x="1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4"/>
        <item m="1" x="218"/>
        <item m="1" x="670"/>
        <item m="1" x="253"/>
        <item m="1" x="329"/>
        <item m="1" x="748"/>
        <item m="1" x="171"/>
        <item m="1" x="836"/>
        <item m="1" x="883"/>
        <item x="6"/>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8"/>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2"/>
        <item x="17"/>
        <item m="1" x="866"/>
        <item m="1" x="810"/>
        <item m="1" x="193"/>
        <item m="1" x="132"/>
        <item m="1" x="773"/>
        <item m="1" x="209"/>
        <item m="1" x="455"/>
        <item m="1" x="435"/>
        <item m="1" x="766"/>
        <item m="1" x="186"/>
        <item m="1" x="391"/>
        <item m="1" x="117"/>
        <item m="1" x="281"/>
        <item m="1" x="489"/>
        <item m="1" x="362"/>
        <item m="1" x="111"/>
        <item x="16"/>
        <item m="1" x="393"/>
        <item x="19"/>
        <item x="3"/>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5"/>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8"/>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1"/>
        <item m="1" x="694"/>
        <item m="1" x="830"/>
        <item m="1" x="590"/>
        <item m="1" x="962"/>
        <item m="1" x="919"/>
        <item m="1" x="579"/>
        <item m="1" x="328"/>
        <item m="1" x="232"/>
        <item m="1" x="66"/>
        <item x="20"/>
        <item m="1" x="401"/>
        <item m="1" x="419"/>
        <item m="1" x="646"/>
        <item m="1" x="972"/>
        <item m="1" x="475"/>
        <item m="1" x="802"/>
        <item m="1" x="98"/>
        <item m="1" x="521"/>
        <item m="1" x="556"/>
        <item m="1" x="908"/>
        <item m="1" x="931"/>
        <item m="1" x="909"/>
        <item m="1" x="366"/>
        <item m="1" x="275"/>
        <item m="1" x="230"/>
        <item m="1" x="64"/>
        <item m="1" x="228"/>
        <item x="1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7"/>
        <item x="2"/>
        <item x="9"/>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49" outline="0" showAll="0"/>
    <pivotField compact="0" numFmtId="49"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99"/>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69" subtotal="average" baseField="85" baseItem="1" numFmtId="9"/>
    <dataField name="% LATRINE GAP" fld="80" subtotal="average" baseField="85" baseItem="1" numFmtId="9"/>
    <dataField name="% HYGIENE GAP" fld="88" subtotal="average" baseField="85" baseItem="1" numFmtId="9"/>
  </dataFields>
  <formats count="48">
    <format dxfId="209">
      <pivotArea type="all" dataOnly="0" outline="0" fieldPosition="0"/>
    </format>
    <format dxfId="208">
      <pivotArea outline="0" collapsedLevelsAreSubtotals="1" fieldPosition="0"/>
    </format>
    <format dxfId="207">
      <pivotArea field="4" type="button" dataOnly="0" labelOnly="1" outline="0" axis="axisRow" fieldPosition="0"/>
    </format>
    <format dxfId="206">
      <pivotArea dataOnly="0" labelOnly="1" grandRow="1" outline="0" fieldPosition="0"/>
    </format>
    <format dxfId="205">
      <pivotArea type="all" dataOnly="0" outline="0" fieldPosition="0"/>
    </format>
    <format dxfId="204">
      <pivotArea dataOnly="0" labelOnly="1" grandRow="1" outline="0" fieldPosition="0"/>
    </format>
    <format dxfId="203">
      <pivotArea type="all" dataOnly="0" outline="0" fieldPosition="0"/>
    </format>
    <format dxfId="202">
      <pivotArea type="origin" dataOnly="0" labelOnly="1" outline="0" fieldPosition="0"/>
    </format>
    <format dxfId="201">
      <pivotArea field="104" type="button" dataOnly="0" labelOnly="1" outline="0"/>
    </format>
    <format dxfId="200">
      <pivotArea type="topRight" dataOnly="0" labelOnly="1" outline="0"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104" type="button" dataOnly="0" labelOnly="1" outline="0"/>
    </format>
    <format dxfId="195">
      <pivotArea type="topRight" dataOnly="0" labelOnly="1" outline="0" fieldPosition="0"/>
    </format>
    <format dxfId="194">
      <pivotArea outline="0" fieldPosition="0">
        <references count="1">
          <reference field="4294967294" count="3" selected="0">
            <x v="3"/>
            <x v="4"/>
            <x v="5"/>
          </reference>
        </references>
      </pivotArea>
    </format>
    <format dxfId="193">
      <pivotArea outline="0" fieldPosition="0">
        <references count="1">
          <reference field="4294967294" count="2" selected="0">
            <x v="1"/>
            <x v="2"/>
          </reference>
        </references>
      </pivotArea>
    </format>
    <format dxfId="192">
      <pivotArea type="all" dataOnly="0" outline="0" fieldPosition="0"/>
    </format>
    <format dxfId="191">
      <pivotArea outline="0" collapsedLevelsAreSubtotals="1" fieldPosition="0"/>
    </format>
    <format dxfId="190">
      <pivotArea field="4" type="button" dataOnly="0" labelOnly="1" outline="0" axis="axisRow" fieldPosition="0"/>
    </format>
    <format dxfId="189">
      <pivotArea field="5" type="button" dataOnly="0" labelOnly="1" outline="0" axis="axisRow" fieldPosition="1"/>
    </format>
    <format dxfId="188">
      <pivotArea field="7" type="button" dataOnly="0" labelOnly="1" outline="0" axis="axisRow" fieldPosition="2"/>
    </format>
    <format dxfId="187">
      <pivotArea field="99" type="button" dataOnly="0" labelOnly="1" outline="0" axis="axisRow" fieldPosition="3"/>
    </format>
    <format dxfId="186">
      <pivotArea dataOnly="0" labelOnly="1" outline="0" fieldPosition="0">
        <references count="1">
          <reference field="4" count="0"/>
        </references>
      </pivotArea>
    </format>
    <format dxfId="185">
      <pivotArea dataOnly="0" labelOnly="1" outline="0" fieldPosition="0">
        <references count="1">
          <reference field="4" count="0" defaultSubtotal="1"/>
        </references>
      </pivotArea>
    </format>
    <format dxfId="184">
      <pivotArea dataOnly="0" labelOnly="1" outline="0" fieldPosition="0">
        <references count="2">
          <reference field="4" count="1" selected="0">
            <x v="0"/>
          </reference>
          <reference field="5" count="8">
            <x v="1"/>
            <x v="12"/>
            <x v="17"/>
            <x v="18"/>
            <x v="28"/>
            <x v="31"/>
            <x v="33"/>
            <x v="35"/>
          </reference>
        </references>
      </pivotArea>
    </format>
    <format dxfId="183">
      <pivotArea dataOnly="0" labelOnly="1" outline="0" fieldPosition="0">
        <references count="2">
          <reference field="4" count="1" selected="0">
            <x v="1"/>
          </reference>
          <reference field="5" count="7">
            <x v="8"/>
            <x v="9"/>
            <x v="15"/>
            <x v="19"/>
            <x v="27"/>
            <x v="30"/>
            <x v="32"/>
          </reference>
        </references>
      </pivotArea>
    </format>
    <format dxfId="182">
      <pivotArea dataOnly="0" labelOnly="1" outline="0" fieldPosition="0">
        <references count="2">
          <reference field="4" count="1" selected="0">
            <x v="2"/>
          </reference>
          <reference field="5" count="4">
            <x v="6"/>
            <x v="7"/>
            <x v="13"/>
            <x v="20"/>
          </reference>
        </references>
      </pivotArea>
    </format>
    <format dxfId="181">
      <pivotArea dataOnly="0" labelOnly="1" outline="0" fieldPosition="0">
        <references count="3">
          <reference field="4" count="1" selected="0">
            <x v="0"/>
          </reference>
          <reference field="5" count="1" selected="0">
            <x v="1"/>
          </reference>
          <reference field="7" count="1">
            <x v="47"/>
          </reference>
        </references>
      </pivotArea>
    </format>
    <format dxfId="180">
      <pivotArea dataOnly="0" labelOnly="1" outline="0" fieldPosition="0">
        <references count="3">
          <reference field="4" count="1" selected="0">
            <x v="0"/>
          </reference>
          <reference field="5" count="1" selected="0">
            <x v="12"/>
          </reference>
          <reference field="7" count="2">
            <x v="256"/>
            <x v="262"/>
          </reference>
        </references>
      </pivotArea>
    </format>
    <format dxfId="179">
      <pivotArea dataOnly="0" labelOnly="1" outline="0" fieldPosition="0">
        <references count="3">
          <reference field="4" count="1" selected="0">
            <x v="0"/>
          </reference>
          <reference field="5" count="1" selected="0">
            <x v="17"/>
          </reference>
          <reference field="7" count="2">
            <x v="110"/>
            <x v="282"/>
          </reference>
        </references>
      </pivotArea>
    </format>
    <format dxfId="178">
      <pivotArea dataOnly="0" labelOnly="1" outline="0" fieldPosition="0">
        <references count="3">
          <reference field="4" count="1" selected="0">
            <x v="0"/>
          </reference>
          <reference field="5" count="1" selected="0">
            <x v="18"/>
          </reference>
          <reference field="7" count="3">
            <x v="154"/>
            <x v="284"/>
            <x v="299"/>
          </reference>
        </references>
      </pivotArea>
    </format>
    <format dxfId="177">
      <pivotArea dataOnly="0" labelOnly="1" outline="0" fieldPosition="0">
        <references count="3">
          <reference field="4" count="1" selected="0">
            <x v="0"/>
          </reference>
          <reference field="5" count="1" selected="0">
            <x v="28"/>
          </reference>
          <reference field="7" count="2">
            <x v="125"/>
            <x v="529"/>
          </reference>
        </references>
      </pivotArea>
    </format>
    <format dxfId="176">
      <pivotArea dataOnly="0" labelOnly="1" outline="0" fieldPosition="0">
        <references count="3">
          <reference field="4" count="1" selected="0">
            <x v="0"/>
          </reference>
          <reference field="5" count="1" selected="0">
            <x v="31"/>
          </reference>
          <reference field="7" count="1">
            <x v="205"/>
          </reference>
        </references>
      </pivotArea>
    </format>
    <format dxfId="175">
      <pivotArea dataOnly="0" labelOnly="1" outline="0" fieldPosition="0">
        <references count="3">
          <reference field="4" count="1" selected="0">
            <x v="0"/>
          </reference>
          <reference field="5" count="1" selected="0">
            <x v="33"/>
          </reference>
          <reference field="7" count="1">
            <x v="466"/>
          </reference>
        </references>
      </pivotArea>
    </format>
    <format dxfId="174">
      <pivotArea dataOnly="0" labelOnly="1" outline="0" fieldPosition="0">
        <references count="3">
          <reference field="4" count="1" selected="0">
            <x v="0"/>
          </reference>
          <reference field="5" count="1" selected="0">
            <x v="35"/>
          </reference>
          <reference field="7" count="1">
            <x v="100"/>
          </reference>
        </references>
      </pivotArea>
    </format>
    <format dxfId="173">
      <pivotArea dataOnly="0" labelOnly="1" outline="0" fieldPosition="0">
        <references count="3">
          <reference field="4" count="1" selected="0">
            <x v="1"/>
          </reference>
          <reference field="5" count="1" selected="0">
            <x v="8"/>
          </reference>
          <reference field="7" count="1">
            <x v="132"/>
          </reference>
        </references>
      </pivotArea>
    </format>
    <format dxfId="172">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171">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170">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169">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168">
      <pivotArea dataOnly="0" labelOnly="1" outline="0" fieldPosition="0">
        <references count="3">
          <reference field="4" count="1" selected="0">
            <x v="1"/>
          </reference>
          <reference field="5" count="1" selected="0">
            <x v="30"/>
          </reference>
          <reference field="7" count="3">
            <x v="19"/>
            <x v="351"/>
            <x v="352"/>
          </reference>
        </references>
      </pivotArea>
    </format>
    <format dxfId="167">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166">
      <pivotArea dataOnly="0" labelOnly="1" outline="0" fieldPosition="0">
        <references count="3">
          <reference field="4" count="1" selected="0">
            <x v="2"/>
          </reference>
          <reference field="5" count="1" selected="0">
            <x v="6"/>
          </reference>
          <reference field="7" count="1">
            <x v="248"/>
          </reference>
        </references>
      </pivotArea>
    </format>
    <format dxfId="165">
      <pivotArea dataOnly="0" labelOnly="1" outline="0" fieldPosition="0">
        <references count="3">
          <reference field="4" count="1" selected="0">
            <x v="2"/>
          </reference>
          <reference field="5" count="1" selected="0">
            <x v="7"/>
          </reference>
          <reference field="7" count="1">
            <x v="372"/>
          </reference>
        </references>
      </pivotArea>
    </format>
    <format dxfId="164">
      <pivotArea dataOnly="0" labelOnly="1" outline="0" fieldPosition="0">
        <references count="3">
          <reference field="4" count="1" selected="0">
            <x v="2"/>
          </reference>
          <reference field="5" count="1" selected="0">
            <x v="13"/>
          </reference>
          <reference field="7" count="1">
            <x v="250"/>
          </reference>
        </references>
      </pivotArea>
    </format>
    <format dxfId="163">
      <pivotArea dataOnly="0" labelOnly="1" outline="0" fieldPosition="0">
        <references count="3">
          <reference field="4" count="1" selected="0">
            <x v="2"/>
          </reference>
          <reference field="5" count="1" selected="0">
            <x v="20"/>
          </reference>
          <reference field="7" count="1">
            <x v="111"/>
          </reference>
        </references>
      </pivotArea>
    </format>
    <format dxfId="162">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67"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F254:G256" firstHeaderRow="1" firstDataRow="2" firstDataCol="1" rowPageCount="2" colPageCount="1"/>
  <pivotFields count="122">
    <pivotField axis="axisPage" subtotalTop="0" multipleItemSelectionAllowed="1" showAll="0">
      <items count="24">
        <item m="1" x="21"/>
        <item m="1" x="7"/>
        <item m="1" x="22"/>
        <item m="1" x="14"/>
        <item m="1" x="3"/>
        <item m="1" x="1"/>
        <item m="1" x="20"/>
        <item m="1" x="16"/>
        <item m="1" x="18"/>
        <item m="1" x="19"/>
        <item m="1" x="10"/>
        <item m="1" x="12"/>
        <item m="1" x="17"/>
        <item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1">
        <item x="0"/>
        <item m="1" x="2"/>
        <item m="1" x="9"/>
        <item m="1" x="8"/>
        <item m="1" x="1"/>
        <item m="1" x="4"/>
        <item m="1" x="3"/>
        <item m="1" x="5"/>
        <item m="1" x="7"/>
        <item m="1" x="10"/>
        <item m="1" x="6"/>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04"/>
  </colFields>
  <colItems count="1">
    <i>
      <x/>
    </i>
  </colItems>
  <pageFields count="2">
    <pageField fld="0" hier="-1"/>
    <pageField fld="4" hier="-1"/>
  </pageFields>
  <dataFields count="1">
    <dataField name="Count of Site Name" fld="7" subtotal="count" baseField="0" baseItem="0"/>
  </dataFields>
  <formats count="19">
    <format dxfId="228">
      <pivotArea type="all" dataOnly="0" outline="0" fieldPosition="0"/>
    </format>
    <format dxfId="227">
      <pivotArea outline="0" collapsedLevelsAreSubtotals="1" fieldPosition="0"/>
    </format>
    <format dxfId="226">
      <pivotArea field="4" type="button" dataOnly="0" labelOnly="1" outline="0" axis="axisPage" fieldPosition="1"/>
    </format>
    <format dxfId="225">
      <pivotArea dataOnly="0" labelOnly="1" fieldPosition="0">
        <references count="1">
          <reference field="4" count="0"/>
        </references>
      </pivotArea>
    </format>
    <format dxfId="224">
      <pivotArea dataOnly="0" labelOnly="1" grandRow="1" outline="0" fieldPosition="0"/>
    </format>
    <format dxfId="223">
      <pivotArea dataOnly="0" labelOnly="1" outline="0" fieldPosition="0">
        <references count="1">
          <reference field="4294967294" count="1">
            <x v="0"/>
          </reference>
        </references>
      </pivotArea>
    </format>
    <format dxfId="222">
      <pivotArea type="all" dataOnly="0" outline="0" fieldPosition="0"/>
    </format>
    <format dxfId="221">
      <pivotArea outline="0" collapsedLevelsAreSubtotals="1" fieldPosition="0"/>
    </format>
    <format dxfId="220">
      <pivotArea type="origin" dataOnly="0" labelOnly="1" outline="0" fieldPosition="0"/>
    </format>
    <format dxfId="219">
      <pivotArea field="104" type="button" dataOnly="0" labelOnly="1" outline="0" axis="axisCol" fieldPosition="0"/>
    </format>
    <format dxfId="218">
      <pivotArea type="topRight" dataOnly="0" labelOnly="1" outline="0" fieldPosition="0"/>
    </format>
    <format dxfId="217">
      <pivotArea dataOnly="0" labelOnly="1" fieldPosition="0">
        <references count="1">
          <reference field="104" count="0"/>
        </references>
      </pivotArea>
    </format>
    <format dxfId="216">
      <pivotArea type="all" dataOnly="0" outline="0" fieldPosition="0"/>
    </format>
    <format dxfId="215">
      <pivotArea outline="0" collapsedLevelsAreSubtotals="1" fieldPosition="0"/>
    </format>
    <format dxfId="214">
      <pivotArea dataOnly="0" labelOnly="1" fieldPosition="0">
        <references count="1">
          <reference field="104" count="0"/>
        </references>
      </pivotArea>
    </format>
    <format dxfId="213">
      <pivotArea field="4" type="button" dataOnly="0" labelOnly="1" outline="0" axis="axisPage" fieldPosition="1"/>
    </format>
    <format dxfId="212">
      <pivotArea dataOnly="0" labelOnly="1" outline="0" fieldPosition="0">
        <references count="2">
          <reference field="0" count="1" selected="0">
            <x v="7"/>
          </reference>
          <reference field="4" count="0"/>
        </references>
      </pivotArea>
    </format>
    <format dxfId="211">
      <pivotArea dataOnly="0" labelOnly="1" outline="0" fieldPosition="0">
        <references count="2">
          <reference field="0" count="1" selected="0">
            <x v="8"/>
          </reference>
          <reference field="4" count="0"/>
        </references>
      </pivotArea>
    </format>
    <format dxfId="210">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04" count="1" selected="0">
            <x v="0"/>
          </reference>
        </references>
      </pivotArea>
    </chartFormat>
    <chartFormat chart="1" format="1" series="1">
      <pivotArea type="data" outline="0" fieldPosition="0">
        <references count="2">
          <reference field="4294967294" count="1" selected="0">
            <x v="0"/>
          </reference>
          <reference field="104" count="1" selected="0">
            <x v="1"/>
          </reference>
        </references>
      </pivotArea>
    </chartFormat>
    <chartFormat chart="9" format="8" series="1">
      <pivotArea type="data" outline="0" fieldPosition="0">
        <references count="2">
          <reference field="4294967294" count="1" selected="0">
            <x v="0"/>
          </reference>
          <reference field="104" count="1" selected="0">
            <x v="0"/>
          </reference>
        </references>
      </pivotArea>
    </chartFormat>
    <chartFormat chart="9" format="9" series="1">
      <pivotArea type="data" outline="0" fieldPosition="0">
        <references count="2">
          <reference field="4294967294" count="1" selected="0">
            <x v="0"/>
          </reference>
          <reference field="104" count="1" selected="0">
            <x v="1"/>
          </reference>
        </references>
      </pivotArea>
    </chartFormat>
    <chartFormat chart="16" format="8" series="1">
      <pivotArea type="data" outline="0" fieldPosition="0">
        <references count="2">
          <reference field="4294967294" count="1" selected="0">
            <x v="0"/>
          </reference>
          <reference field="104" count="1" selected="0">
            <x v="0"/>
          </reference>
        </references>
      </pivotArea>
    </chartFormat>
    <chartFormat chart="16" format="9" series="1">
      <pivotArea type="data" outline="0" fieldPosition="0">
        <references count="2">
          <reference field="4294967294" count="1" selected="0">
            <x v="0"/>
          </reference>
          <reference field="104"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67"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0" rowHeaderCaption="State">
  <location ref="K353:L358" firstHeaderRow="1" firstDataRow="2" firstDataCol="1" rowPageCount="1" colPageCount="1"/>
  <pivotFields count="122">
    <pivotField axis="axisCol" subtotalTop="0" showAll="0" sortType="ascending">
      <items count="24">
        <item m="1" x="20"/>
        <item m="1" x="21"/>
        <item m="1" x="7"/>
        <item m="1" x="22"/>
        <item m="1" x="14"/>
        <item m="1" x="16"/>
        <item m="1" x="18"/>
        <item m="1" x="19"/>
        <item m="1" x="3"/>
        <item m="1" x="10"/>
        <item m="1" x="12"/>
        <item m="1" x="15"/>
        <item m="1" x="17"/>
        <item m="1" x="5"/>
        <item m="1" x="8"/>
        <item m="1" x="11"/>
        <item m="1" x="13"/>
        <item m="1" x="2"/>
        <item m="1" x="4"/>
        <item m="1" x="6"/>
        <item m="1" x="9"/>
        <item x="0"/>
        <item m="1" x="1"/>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1"/>
    </i>
  </colItems>
  <pageFields count="1">
    <pageField fld="104" hier="-1"/>
  </pageFields>
  <dataFields count="4">
    <dataField name=" % of affected people surveyed who report feeling satistfied with the latrine design and sanitation service" fld="51" subtotal="average" baseField="0" baseItem="1"/>
    <dataField name="% of affected people surveyed who report feeling satistfied with the water point design and water service" fld="52" subtotal="average" baseField="0" baseItem="1"/>
    <dataField name="% of complaints received that result in timely corrective action and feedback to the community" fld="54" subtotal="average" baseField="10" baseItem="0"/>
    <dataField name="% of affected people surveyed who report feeling informed about the different WASH services available to them" fld="53" subtotal="average" baseField="0" baseItem="3"/>
  </dataFields>
  <formats count="17">
    <format dxfId="245">
      <pivotArea type="all" dataOnly="0" outline="0" fieldPosition="0"/>
    </format>
    <format dxfId="244">
      <pivotArea outline="0" collapsedLevelsAreSubtotals="1" fieldPosition="0"/>
    </format>
    <format dxfId="243">
      <pivotArea field="4" type="button" dataOnly="0" labelOnly="1" outline="0"/>
    </format>
    <format dxfId="242">
      <pivotArea dataOnly="0" labelOnly="1" grandRow="1" outline="0" fieldPosition="0"/>
    </format>
    <format dxfId="241">
      <pivotArea type="all" dataOnly="0" outline="0" fieldPosition="0"/>
    </format>
    <format dxfId="240">
      <pivotArea outline="0" collapsedLevelsAreSubtotals="1" fieldPosition="0"/>
    </format>
    <format dxfId="239">
      <pivotArea type="origin" dataOnly="0" labelOnly="1" outline="0" fieldPosition="0"/>
    </format>
    <format dxfId="238">
      <pivotArea field="104" type="button" dataOnly="0" labelOnly="1" outline="0" axis="axisPage" fieldPosition="0"/>
    </format>
    <format dxfId="237">
      <pivotArea type="topRight" dataOnly="0" labelOnly="1" outline="0" fieldPosition="0"/>
    </format>
    <format dxfId="236">
      <pivotArea dataOnly="0" labelOnly="1" fieldPosition="0">
        <references count="1">
          <reference field="104" count="0"/>
        </references>
      </pivotArea>
    </format>
    <format dxfId="235">
      <pivotArea type="all" dataOnly="0" outline="0" fieldPosition="0"/>
    </format>
    <format dxfId="234">
      <pivotArea outline="0" collapsedLevelsAreSubtotals="1" fieldPosition="0"/>
    </format>
    <format dxfId="233">
      <pivotArea field="4" type="button" dataOnly="0" labelOnly="1" outline="0"/>
    </format>
    <format dxfId="232">
      <pivotArea field="4" type="button" dataOnly="0" labelOnly="1" outline="0"/>
    </format>
    <format dxfId="231">
      <pivotArea field="4" type="button" dataOnly="0" labelOnly="1" outline="0"/>
    </format>
    <format dxfId="230">
      <pivotArea field="4" type="button" dataOnly="0" labelOnly="1" outline="0"/>
    </format>
    <format dxfId="229">
      <pivotArea outline="0" collapsedLevelsAreSubtotals="1" fieldPosition="0"/>
    </format>
  </formats>
  <chartFormats count="7">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67"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93:G195" firstHeaderRow="0" firstDataRow="1" firstDataCol="1" rowPageCount="3" colPageCount="1"/>
  <pivotFields count="122">
    <pivotField axis="axisPage" subtotalTop="0" multipleItemSelectionAllowed="1" showAll="0">
      <items count="24">
        <item h="1"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5">
    <i>
      <x/>
    </i>
    <i i="1">
      <x v="1"/>
    </i>
    <i i="2">
      <x v="2"/>
    </i>
    <i i="3">
      <x v="3"/>
    </i>
    <i i="4">
      <x v="4"/>
    </i>
  </colItems>
  <pageFields count="3">
    <pageField fld="0" hier="-1"/>
    <pageField fld="104" item="0" hier="-1"/>
    <pageField fld="6" hier="-1"/>
  </pageFields>
  <dataFields count="5">
    <dataField name="Sum of Total PoP " fld="9" baseField="0" baseItem="0"/>
    <dataField name="Sum of # people reached by regular dedicated hygiene promotion_5" fld="82" baseField="0" baseItem="0"/>
    <dataField name="Sum of #_of_affected_women_and_girls_receiving_a_sufficient_quantity_of_sanitary_pads" fld="46" baseField="0" baseItem="0"/>
    <dataField name="Sum of #_of_affected_households_receiving_a_sufficient_quantity_of_soap" fld="45" baseField="0" baseItem="0"/>
    <dataField name="Sum of Total HH" fld="8" baseField="0" baseItem="0"/>
  </dataFields>
  <formats count="12">
    <format dxfId="257">
      <pivotArea type="all" dataOnly="0" outline="0" fieldPosition="0"/>
    </format>
    <format dxfId="256">
      <pivotArea type="all" dataOnly="0" outline="0" fieldPosition="0"/>
    </format>
    <format dxfId="255">
      <pivotArea outline="0" collapsedLevelsAreSubtotals="1" fieldPosition="0"/>
    </format>
    <format dxfId="254">
      <pivotArea field="4" type="button" dataOnly="0" labelOnly="1" outline="0" axis="axisRow" fieldPosition="0"/>
    </format>
    <format dxfId="253">
      <pivotArea dataOnly="0" labelOnly="1" fieldPosition="0">
        <references count="1">
          <reference field="4" count="0"/>
        </references>
      </pivotArea>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field="4" type="button" dataOnly="0" labelOnly="1" outline="0" axis="axisRow" fieldPosition="0"/>
    </format>
    <format dxfId="248">
      <pivotArea dataOnly="0" labelOnly="1" fieldPosition="0">
        <references count="1">
          <reference field="4" count="0"/>
        </references>
      </pivotArea>
    </format>
    <format dxfId="247">
      <pivotArea dataOnly="0" labelOnly="1" grandRow="1" outline="0" fieldPosition="0"/>
    </format>
    <format dxfId="246">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67"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15" firstHeaderRow="0" firstDataRow="1" firstDataCol="1" rowPageCount="4" colPageCount="1"/>
  <pivotFields count="122">
    <pivotField axis="axisPage" subtotalTop="0" showAll="0">
      <items count="24">
        <item m="1" x="21"/>
        <item m="1" x="7"/>
        <item m="1" x="14"/>
        <item m="1" x="1"/>
        <item m="1" x="22"/>
        <item m="1" x="3"/>
        <item m="1" x="20"/>
        <item m="1" x="16"/>
        <item m="1" x="18"/>
        <item m="1" x="19"/>
        <item m="1" x="10"/>
        <item n="2019 Q2" m="1" x="12"/>
        <item m="1" x="17"/>
        <item m="1" x="15"/>
        <item m="1" x="5"/>
        <item m="1" x="8"/>
        <item m="1" x="11"/>
        <item m="1" x="13"/>
        <item m="1" x="2"/>
        <item m="1" x="4"/>
        <item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 t="default"/>
      </items>
    </pivotField>
    <pivotField axis="axisPage" multipleItemSelectionAllowed="1" showAll="0" defaultSubtotal="0">
      <items count="11">
        <item x="0"/>
        <item m="1" x="2"/>
        <item m="1" x="9"/>
        <item m="1" x="8"/>
        <item h="1" m="1" x="1"/>
        <item h="1" m="1" x="4"/>
        <item h="1" m="1" x="3"/>
        <item h="1" m="1" x="5"/>
        <item m="1" x="7"/>
        <item h="1" m="1" x="10"/>
        <item h="1" m="1" x="6"/>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2" hier="-1"/>
    <pageField fld="104" hier="-1"/>
    <pageField fld="4" hier="-1"/>
    <pageField fld="6" hier="-1"/>
  </pageFields>
  <dataFields count="5">
    <dataField name="# of sites" fld="7" subtotal="count" baseField="0" baseItem="0"/>
    <dataField name="PoP " fld="9" baseField="0" baseItem="0" numFmtId="164"/>
    <dataField name=" % Water GAP" fld="117" baseField="0" baseItem="0" numFmtId="9"/>
    <dataField name=" % Sanitation GAP" fld="119" baseField="5" baseItem="23" numFmtId="9"/>
    <dataField name=" % Hygiene Gap" fld="114" baseField="0" baseItem="0" numFmtId="9"/>
  </dataFields>
  <formats count="40">
    <format dxfId="297">
      <pivotArea type="all" dataOnly="0" outline="0" fieldPosition="0"/>
    </format>
    <format dxfId="296">
      <pivotArea outline="0" collapsedLevelsAreSubtotals="1" fieldPosition="0"/>
    </format>
    <format dxfId="295">
      <pivotArea field="5" type="button" dataOnly="0" labelOnly="1" outline="0" axis="axisRow" fieldPosition="0"/>
    </format>
    <format dxfId="294">
      <pivotArea dataOnly="0" labelOnly="1" outline="0" axis="axisValues" fieldPosition="0"/>
    </format>
    <format dxfId="293">
      <pivotArea dataOnly="0" labelOnly="1" fieldPosition="0">
        <references count="1">
          <reference field="5" count="0"/>
        </references>
      </pivotArea>
    </format>
    <format dxfId="292">
      <pivotArea dataOnly="0" labelOnly="1" grandRow="1" outline="0" fieldPosition="0"/>
    </format>
    <format dxfId="291">
      <pivotArea dataOnly="0" labelOnly="1" outline="0" axis="axisValues" fieldPosition="0"/>
    </format>
    <format dxfId="290">
      <pivotArea type="all" dataOnly="0" outline="0" fieldPosition="0"/>
    </format>
    <format dxfId="289">
      <pivotArea field="5" type="button" dataOnly="0" labelOnly="1" outline="0" axis="axisRow" fieldPosition="0"/>
    </format>
    <format dxfId="288">
      <pivotArea dataOnly="0" labelOnly="1" outline="0" axis="axisValues" fieldPosition="0"/>
    </format>
    <format dxfId="287">
      <pivotArea dataOnly="0" labelOnly="1" fieldPosition="0">
        <references count="1">
          <reference field="5" count="0"/>
        </references>
      </pivotArea>
    </format>
    <format dxfId="286">
      <pivotArea dataOnly="0" labelOnly="1" outline="0" axis="axisValues" fieldPosition="0"/>
    </format>
    <format dxfId="285">
      <pivotArea field="5" type="button" dataOnly="0" labelOnly="1" outline="0" axis="axisRow" fieldPosition="0"/>
    </format>
    <format dxfId="284">
      <pivotArea type="all" dataOnly="0" outline="0" fieldPosition="0"/>
    </format>
    <format dxfId="283">
      <pivotArea field="5" type="button" dataOnly="0" labelOnly="1" outline="0" axis="axisRow" fieldPosition="0"/>
    </format>
    <format dxfId="282">
      <pivotArea dataOnly="0" labelOnly="1" outline="0" fieldPosition="0">
        <references count="1">
          <reference field="4294967294" count="1">
            <x v="1"/>
          </reference>
        </references>
      </pivotArea>
    </format>
    <format dxfId="281">
      <pivotArea type="all" dataOnly="0" outline="0" fieldPosition="0"/>
    </format>
    <format dxfId="280">
      <pivotArea outline="0" collapsedLevelsAreSubtotals="1" fieldPosition="0"/>
    </format>
    <format dxfId="279">
      <pivotArea field="5" type="button" dataOnly="0" labelOnly="1" outline="0" axis="axisRow" fieldPosition="0"/>
    </format>
    <format dxfId="278">
      <pivotArea dataOnly="0" labelOnly="1" fieldPosition="0">
        <references count="1">
          <reference field="5" count="2">
            <x v="30"/>
            <x v="36"/>
          </reference>
        </references>
      </pivotArea>
    </format>
    <format dxfId="277">
      <pivotArea dataOnly="0" labelOnly="1" outline="0" fieldPosition="0">
        <references count="1">
          <reference field="4294967294" count="1">
            <x v="1"/>
          </reference>
        </references>
      </pivotArea>
    </format>
    <format dxfId="276">
      <pivotArea field="5" type="button" dataOnly="0" labelOnly="1" outline="0" axis="axisRow" fieldPosition="0"/>
    </format>
    <format dxfId="275">
      <pivotArea dataOnly="0" labelOnly="1" outline="0" fieldPosition="0">
        <references count="1">
          <reference field="4294967294" count="1">
            <x v="1"/>
          </reference>
        </references>
      </pivotArea>
    </format>
    <format dxfId="274">
      <pivotArea type="all" dataOnly="0" outline="0" fieldPosition="0"/>
    </format>
    <format dxfId="273">
      <pivotArea outline="0" collapsedLevelsAreSubtotals="1" fieldPosition="0"/>
    </format>
    <format dxfId="272">
      <pivotArea field="5" type="button" dataOnly="0" labelOnly="1" outline="0" axis="axisRow" fieldPosition="0"/>
    </format>
    <format dxfId="271">
      <pivotArea dataOnly="0" labelOnly="1" fieldPosition="0">
        <references count="1">
          <reference field="5" count="5">
            <x v="9"/>
            <x v="10"/>
            <x v="23"/>
            <x v="30"/>
            <x v="36"/>
          </reference>
        </references>
      </pivotArea>
    </format>
    <format dxfId="270">
      <pivotArea dataOnly="0" labelOnly="1" grandRow="1" outline="0" fieldPosition="0"/>
    </format>
    <format dxfId="269">
      <pivotArea dataOnly="0" labelOnly="1" outline="0" fieldPosition="0">
        <references count="1">
          <reference field="4294967294" count="1">
            <x v="1"/>
          </reference>
        </references>
      </pivotArea>
    </format>
    <format dxfId="268">
      <pivotArea field="4" type="button" dataOnly="0" labelOnly="1" outline="0" axis="axisPage" fieldPosition="2"/>
    </format>
    <format dxfId="267">
      <pivotArea dataOnly="0" labelOnly="1" outline="0" fieldPosition="0">
        <references count="2">
          <reference field="0" count="1" selected="0">
            <x v="7"/>
          </reference>
          <reference field="4" count="1">
            <x v="1"/>
          </reference>
        </references>
      </pivotArea>
    </format>
    <format dxfId="266">
      <pivotArea outline="0" collapsedLevelsAreSubtotals="1" fieldPosition="0">
        <references count="1">
          <reference field="4294967294" count="1" selected="0">
            <x v="1"/>
          </reference>
        </references>
      </pivotArea>
    </format>
    <format dxfId="265">
      <pivotArea dataOnly="0" labelOnly="1" outline="0" fieldPosition="0">
        <references count="2">
          <reference field="0" count="1" selected="0">
            <x v="8"/>
          </reference>
          <reference field="4" count="1">
            <x v="1"/>
          </reference>
        </references>
      </pivotArea>
    </format>
    <format dxfId="264">
      <pivotArea dataOnly="0" labelOnly="1" outline="0" fieldPosition="0">
        <references count="2">
          <reference field="0" count="1" selected="0">
            <x v="9"/>
          </reference>
          <reference field="4" count="1">
            <x v="1"/>
          </reference>
        </references>
      </pivotArea>
    </format>
    <format dxfId="263">
      <pivotArea dataOnly="0" labelOnly="1" outline="0" fieldPosition="0">
        <references count="2">
          <reference field="0" count="1" selected="0">
            <x v="10"/>
          </reference>
          <reference field="4" count="0"/>
        </references>
      </pivotArea>
    </format>
    <format dxfId="262">
      <pivotArea outline="0" collapsedLevelsAreSubtotals="1" fieldPosition="0">
        <references count="1">
          <reference field="4294967294" count="2" selected="0">
            <x v="2"/>
            <x v="3"/>
          </reference>
        </references>
      </pivotArea>
    </format>
    <format dxfId="261">
      <pivotArea outline="0" collapsedLevelsAreSubtotals="1" fieldPosition="0">
        <references count="1">
          <reference field="4294967294" count="1" selected="0">
            <x v="4"/>
          </reference>
        </references>
      </pivotArea>
    </format>
    <format dxfId="260">
      <pivotArea dataOnly="0" labelOnly="1" outline="0" fieldPosition="0">
        <references count="2">
          <reference field="0" count="1" selected="0">
            <x v="11"/>
          </reference>
          <reference field="4" count="0"/>
        </references>
      </pivotArea>
    </format>
    <format dxfId="259">
      <pivotArea collapsedLevelsAreSubtotals="1" fieldPosition="0">
        <references count="2">
          <reference field="4294967294" count="1" selected="0">
            <x v="2"/>
          </reference>
          <reference field="5" count="1">
            <x v="36"/>
          </reference>
        </references>
      </pivotArea>
    </format>
    <format dxfId="258">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E6BD3AB-AAF8-4473-813F-1EB4A1432D0C}" name="PivotTable1" cacheId="6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B25" firstHeaderRow="1" firstDataRow="2" firstDataCol="1"/>
  <pivotFields count="122">
    <pivotField axis="axisCol" showAll="0">
      <items count="24">
        <item m="1" x="20"/>
        <item m="1" x="21"/>
        <item m="1" x="7"/>
        <item m="1" x="22"/>
        <item m="1" x="14"/>
        <item m="1" x="16"/>
        <item m="1" x="18"/>
        <item m="1" x="19"/>
        <item m="1" x="3"/>
        <item m="1" x="10"/>
        <item m="1" x="12"/>
        <item m="1" x="15"/>
        <item m="1" x="17"/>
        <item m="1" x="5"/>
        <item m="1" x="8"/>
        <item m="1" x="11"/>
        <item m="1" x="1"/>
        <item m="1" x="13"/>
        <item m="1" x="2"/>
        <item m="1" x="4"/>
        <item m="1" x="6"/>
        <item m="1" x="9"/>
        <item x="0"/>
        <item t="default"/>
      </items>
    </pivotField>
    <pivotField showAll="0"/>
    <pivotField showAll="0"/>
    <pivotField showAll="0"/>
    <pivotField showAll="0"/>
    <pivotField showAll="0"/>
    <pivotField showAll="0"/>
    <pivotField axis="axisRow" showAll="0">
      <items count="975">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5"/>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0"/>
        <item m="1" x="754"/>
        <item m="1" x="569"/>
        <item m="1" x="824"/>
        <item x="1"/>
        <item x="1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2"/>
        <item x="7"/>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4"/>
        <item m="1" x="269"/>
        <item m="1" x="816"/>
        <item m="1" x="218"/>
        <item m="1" x="670"/>
        <item m="1" x="905"/>
        <item m="1" x="520"/>
        <item m="1" x="219"/>
        <item m="1" x="253"/>
        <item m="1" x="329"/>
        <item m="1" x="748"/>
        <item m="1" x="171"/>
        <item m="1" x="696"/>
        <item m="1" x="108"/>
        <item m="1" x="836"/>
        <item m="1" x="883"/>
        <item x="6"/>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8"/>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2"/>
        <item x="17"/>
        <item m="1" x="866"/>
        <item m="1" x="713"/>
        <item m="1" x="810"/>
        <item m="1" x="193"/>
        <item m="1" x="132"/>
        <item m="1" x="773"/>
        <item m="1" x="209"/>
        <item m="1" x="455"/>
        <item m="1" x="925"/>
        <item m="1" x="435"/>
        <item m="1" x="766"/>
        <item m="1" x="186"/>
        <item m="1" x="391"/>
        <item m="1" x="117"/>
        <item m="1" x="281"/>
        <item m="1" x="945"/>
        <item m="1" x="489"/>
        <item m="1" x="362"/>
        <item m="1" x="111"/>
        <item x="16"/>
        <item m="1" x="393"/>
        <item x="19"/>
        <item x="3"/>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9"/>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5"/>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8"/>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20"/>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1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dataField="1" numFmtId="164"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0"/>
  </colFields>
  <colItems count="1">
    <i>
      <x v="22"/>
    </i>
  </colItems>
  <dataFields count="1">
    <dataField name="Sum of HRP1" fld="6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1"/>
        <item m="1" x="7"/>
        <item m="1" x="12"/>
        <item m="1" x="33"/>
        <item m="1" x="9"/>
        <item m="1" x="15"/>
        <item m="1" x="26"/>
        <item m="1" x="11"/>
        <item m="1" x="20"/>
        <item m="1" x="31"/>
        <item m="1" x="23"/>
        <item m="1" x="35"/>
        <item m="1" x="14"/>
        <item x="3"/>
        <item m="1" x="24"/>
        <item m="1" x="17"/>
        <item m="1" x="21"/>
        <item m="1" x="27"/>
        <item m="1" x="10"/>
        <item x="2"/>
        <item m="1" x="28"/>
        <item m="1" x="18"/>
        <item m="1" x="38"/>
        <item m="1" x="32"/>
        <item m="1" x="39"/>
        <item x="0"/>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Hygiene Coverage" fld="115" baseField="0" baseItem="0" numFmtId="1"/>
    <dataField name="  % Hygiene Gap" fld="114" baseField="0" baseItem="0" numFmtId="1"/>
  </dataFields>
  <formats count="11">
    <format dxfId="308">
      <pivotArea type="all" dataOnly="0" outline="0" fieldPosition="0"/>
    </format>
    <format dxfId="307">
      <pivotArea outline="0" collapsedLevelsAreSubtotals="1" fieldPosition="0"/>
    </format>
    <format dxfId="306">
      <pivotArea field="4" type="button" dataOnly="0" labelOnly="1" outline="0" axis="axisPage" fieldPosition="2"/>
    </format>
    <format dxfId="305">
      <pivotArea type="all" dataOnly="0" outline="0" fieldPosition="0"/>
    </format>
    <format dxfId="304">
      <pivotArea outline="0" collapsedLevelsAreSubtotals="1" fieldPosition="0"/>
    </format>
    <format dxfId="303">
      <pivotArea outline="0" collapsedLevelsAreSubtotals="1" fieldPosition="0"/>
    </format>
    <format dxfId="302">
      <pivotArea field="5" type="button" dataOnly="0" labelOnly="1" outline="0" axis="axisRow" fieldPosition="0"/>
    </format>
    <format dxfId="301">
      <pivotArea field="5" type="button" dataOnly="0" labelOnly="1" outline="0" axis="axisRow" fieldPosition="0"/>
    </format>
    <format dxfId="300">
      <pivotArea field="5" type="button" dataOnly="0" labelOnly="1" outline="0" axis="axisRow" fieldPosition="0"/>
    </format>
    <format dxfId="299">
      <pivotArea field="4" type="button" dataOnly="0" labelOnly="1" outline="0" axis="axisPage" fieldPosition="2"/>
    </format>
    <format dxfId="298">
      <pivotArea dataOnly="0" labelOnly="1" outline="0" fieldPosition="0">
        <references count="2">
          <reference field="4" count="1">
            <x v="0"/>
          </reference>
          <reference field="104"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67"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46:D48"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m="1" x="5"/>
        <item m="1" x="8"/>
        <item m="1" x="11"/>
        <item m="1" x="13"/>
        <item m="1" x="2"/>
        <item m="1" x="4"/>
        <item m="1" x="6"/>
        <item m="1" x="9"/>
        <item x="0"/>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2">
    <i>
      <x/>
    </i>
    <i i="1">
      <x v="1"/>
    </i>
  </colItems>
  <pageFields count="3">
    <pageField fld="0" hier="-1"/>
    <pageField fld="104" hier="-1"/>
    <pageField fld="6" hier="-1"/>
  </pageFields>
  <dataFields count="2">
    <dataField name="Sum of #_Water samples_Tested_at_water_source2" fld="20" baseField="4" baseItem="4"/>
    <dataField name="Average of %_Water samples _passed_at_water source" fld="21" subtotal="average" baseField="4" baseItem="1"/>
  </dataFields>
  <formats count="11">
    <format dxfId="319">
      <pivotArea field="4" type="button" dataOnly="0" labelOnly="1" outline="0" axis="axisRow" fieldPosition="0"/>
    </format>
    <format dxfId="318">
      <pivotArea type="all" dataOnly="0" outline="0" fieldPosition="0"/>
    </format>
    <format dxfId="317">
      <pivotArea outline="0" collapsedLevelsAreSubtotals="1" fieldPosition="0"/>
    </format>
    <format dxfId="316">
      <pivotArea field="4" type="button" dataOnly="0" labelOnly="1" outline="0" axis="axisRow" fieldPosition="0"/>
    </format>
    <format dxfId="315">
      <pivotArea dataOnly="0" labelOnly="1" fieldPosition="0">
        <references count="1">
          <reference field="4" count="0"/>
        </references>
      </pivotArea>
    </format>
    <format dxfId="314">
      <pivotArea type="all" dataOnly="0" outline="0" fieldPosition="0"/>
    </format>
    <format dxfId="313">
      <pivotArea type="all" dataOnly="0" outline="0" fieldPosition="0"/>
    </format>
    <format dxfId="312">
      <pivotArea outline="0" collapsedLevelsAreSubtotals="1" fieldPosition="0"/>
    </format>
    <format dxfId="311">
      <pivotArea field="4" type="button" dataOnly="0" labelOnly="1" outline="0" axis="axisRow" fieldPosition="0"/>
    </format>
    <format dxfId="310">
      <pivotArea dataOnly="0" labelOnly="1" fieldPosition="0">
        <references count="1">
          <reference field="4" count="0"/>
        </references>
      </pivotArea>
    </format>
    <format dxfId="309">
      <pivotArea collapsedLevelsAreSubtotals="1" fieldPosition="0">
        <references count="2">
          <reference field="4294967294" count="1" selected="0">
            <x v="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8:E179" firstHeaderRow="0" firstDataRow="1" firstDataCol="1" rowPageCount="1" colPageCount="1"/>
  <pivotFields count="122">
    <pivotField axis="axisRow" subtotalTop="0" multipleItemSelectionAllowed="1" showAll="0">
      <items count="24">
        <item m="1" x="21"/>
        <item m="1" x="7"/>
        <item m="1" x="22"/>
        <item m="1" x="14"/>
        <item m="1" x="3"/>
        <item m="1" x="1"/>
        <item m="1" x="20"/>
        <item m="1" x="16"/>
        <item m="1" x="18"/>
        <item m="1" x="19"/>
        <item m="1" x="10"/>
        <item m="1" x="12"/>
        <item m="1" x="17"/>
        <item m="1" x="15"/>
        <item m="1" x="5"/>
        <item m="1" x="8"/>
        <item m="1" x="11"/>
        <item m="1" x="13"/>
        <item m="1" x="2"/>
        <item m="1" x="4"/>
        <item m="1" x="6"/>
        <item m="1" x="9"/>
        <item x="0"/>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v="22"/>
    </i>
  </rowItems>
  <colFields count="1">
    <field x="-2"/>
  </colFields>
  <colItems count="3">
    <i>
      <x/>
    </i>
    <i i="1">
      <x v="1"/>
    </i>
    <i i="2">
      <x v="2"/>
    </i>
  </colItems>
  <pageFields count="1">
    <pageField fld="104" item="0" hier="-1"/>
  </pageFields>
  <dataFields count="3">
    <dataField name="Sum of #_of_functional_children_latrines" fld="35" baseField="0" baseItem="0" numFmtId="164"/>
    <dataField name="Sum of #_of_latrines_desludged " fld="31" baseField="0" baseItem="0" numFmtId="1"/>
    <dataField name="Sum of #_latrines_repaired" fld="30" baseField="0" baseItem="0" numFmtId="1"/>
  </dataFields>
  <formats count="15">
    <format dxfId="334">
      <pivotArea type="all" dataOnly="0" outline="0" fieldPosition="0"/>
    </format>
    <format dxfId="333">
      <pivotArea outline="0" collapsedLevelsAreSubtotals="1" fieldPosition="0"/>
    </format>
    <format dxfId="332">
      <pivotArea type="origin" dataOnly="0" labelOnly="1" outline="0" fieldPosition="0"/>
    </format>
    <format dxfId="331">
      <pivotArea type="topRight" dataOnly="0" labelOnly="1" outline="0" fieldPosition="0"/>
    </format>
    <format dxfId="330">
      <pivotArea field="4" type="button" dataOnly="0" labelOnly="1" outline="0"/>
    </format>
    <format dxfId="329">
      <pivotArea dataOnly="0" labelOnly="1" grandRow="1" outline="0" fieldPosition="0"/>
    </format>
    <format dxfId="328">
      <pivotArea dataOnly="0" labelOnly="1" grandCol="1" outline="0" fieldPosition="0"/>
    </format>
    <format dxfId="327">
      <pivotArea type="all" dataOnly="0" outline="0" fieldPosition="0"/>
    </format>
    <format dxfId="326">
      <pivotArea outline="0" collapsedLevelsAreSubtotals="1" fieldPosition="0"/>
    </format>
    <format dxfId="325">
      <pivotArea type="all" dataOnly="0" outline="0" fieldPosition="0"/>
    </format>
    <format dxfId="324">
      <pivotArea outline="0" collapsedLevelsAreSubtotals="1" fieldPosition="0"/>
    </format>
    <format dxfId="323">
      <pivotArea dataOnly="0" labelOnly="1" outline="0" axis="axisValues" fieldPosition="0"/>
    </format>
    <format dxfId="322">
      <pivotArea outline="0" collapsedLevelsAreSubtotals="1" fieldPosition="0">
        <references count="1">
          <reference field="4294967294" count="1" selected="0">
            <x v="0"/>
          </reference>
        </references>
      </pivotArea>
    </format>
    <format dxfId="321">
      <pivotArea outline="0" collapsedLevelsAreSubtotals="1" fieldPosition="0">
        <references count="1">
          <reference field="4294967294" count="2" selected="0">
            <x v="1"/>
            <x v="2"/>
          </reference>
        </references>
      </pivotArea>
    </format>
    <format dxfId="320">
      <pivotArea dataOnly="0" labelOnly="1" outline="0" fieldPosition="0">
        <references count="1">
          <reference field="4294967294" count="2">
            <x v="1"/>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F132:G133" firstHeaderRow="0" firstDataRow="1" firstDataCol="0" rowPageCount="2"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Sum of # of Total_People with disabilities" fld="107" baseField="0" baseItem="0"/>
    <dataField name="Sum of #_of_PWD_with_adapted_sanitation_option" fld="36" baseField="0" baseItem="0"/>
  </dataFields>
  <formats count="9">
    <format dxfId="343">
      <pivotArea type="all" dataOnly="0" outline="0" fieldPosition="0"/>
    </format>
    <format dxfId="342">
      <pivotArea outline="0" collapsedLevelsAreSubtotals="1" fieldPosition="0"/>
    </format>
    <format dxfId="341">
      <pivotArea type="origin" dataOnly="0" labelOnly="1" outline="0" fieldPosition="0"/>
    </format>
    <format dxfId="340">
      <pivotArea type="topRight" dataOnly="0" labelOnly="1" outline="0" fieldPosition="0"/>
    </format>
    <format dxfId="339">
      <pivotArea field="4" type="button" dataOnly="0" labelOnly="1" outline="0"/>
    </format>
    <format dxfId="338">
      <pivotArea dataOnly="0" labelOnly="1" grandRow="1" outline="0" fieldPosition="0"/>
    </format>
    <format dxfId="337">
      <pivotArea dataOnly="0" labelOnly="1" grandCol="1" outline="0" fieldPosition="0"/>
    </format>
    <format dxfId="336">
      <pivotArea type="all" dataOnly="0" outline="0" fieldPosition="0"/>
    </format>
    <format dxfId="335">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67" applyNumberFormats="0" applyBorderFormats="0" applyFontFormats="0" applyPatternFormats="0" applyAlignmentFormats="0" applyWidthHeightFormats="1" dataCaption="Values" updatedVersion="6" minRefreshableVersion="3" itemPrintTitles="1" createdVersion="6" indent="0" compact="0" compactData="0" multipleFieldFilters="0" rowHeaderCaption="Township">
  <location ref="I10:J18" firstHeaderRow="1" firstDataRow="1" firstDataCol="2" rowPageCount="5" colPageCount="1"/>
  <pivotFields count="122">
    <pivotField axis="axisPage" compact="0" outline="0" subtotalTop="0" showAll="0" defaultSubtotal="0">
      <items count="23">
        <item m="1" x="21"/>
        <item m="1" x="7"/>
        <item m="1" x="14"/>
        <item m="1" x="1"/>
        <item m="1" x="22"/>
        <item m="1" x="3"/>
        <item m="1" x="20"/>
        <item m="1" x="16"/>
        <item m="1" x="18"/>
        <item m="1" x="19"/>
        <item m="1" x="10"/>
        <item n="2019 Q2" m="1" x="12"/>
        <item m="1" x="17"/>
        <item m="1" x="15"/>
        <item m="1" x="5"/>
        <item m="1" x="8"/>
        <item m="1" x="11"/>
        <item m="1" x="13"/>
        <item m="1" x="2"/>
        <item m="1" x="4"/>
        <item m="1" x="6"/>
        <item m="1" x="9"/>
        <item x="0"/>
      </items>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1"/>
        <item m="1" x="8"/>
        <item m="1" x="19"/>
        <item x="0"/>
        <item m="1" x="43"/>
        <item m="1" x="25"/>
        <item m="1" x="9"/>
        <item m="1" x="16"/>
        <item x="5"/>
        <item x="2"/>
        <item m="1" x="29"/>
        <item m="1" x="45"/>
        <item m="1" x="12"/>
        <item x="4"/>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2"/>
        <item x="0"/>
        <item h="1" m="1" x="4"/>
        <item m="1" x="1"/>
        <item m="1" x="5"/>
        <item m="1" x="3"/>
      </items>
    </pivotField>
    <pivotField axis="axisRow" compact="0" outline="0" subtotalTop="0" showAll="0" sortType="ascending" defaultSubtotal="0">
      <items count="41">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s>
    </pivotField>
    <pivotField axis="axisPage" compact="0" outline="0" multipleItemSelectionAllowed="1" showAll="0" defaultSubtotal="0">
      <items count="11">
        <item x="0"/>
        <item m="1" x="2"/>
        <item m="1" x="9"/>
        <item m="1" x="8"/>
        <item h="1" m="1" x="1"/>
        <item h="1" m="1" x="4"/>
        <item h="1" m="1" x="3"/>
        <item h="1" m="1" x="5"/>
        <item m="1" x="7"/>
        <item h="1" m="1" x="10"/>
        <item h="1" m="1" x="6"/>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5"/>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0"/>
        <item m="1" x="754"/>
        <item m="1" x="569"/>
        <item m="1" x="824"/>
        <item x="1"/>
        <item x="1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2"/>
        <item x="7"/>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4"/>
        <item m="1" x="269"/>
        <item m="1" x="816"/>
        <item m="1" x="218"/>
        <item m="1" x="670"/>
        <item m="1" x="905"/>
        <item m="1" x="520"/>
        <item m="1" x="219"/>
        <item m="1" x="253"/>
        <item m="1" x="329"/>
        <item m="1" x="748"/>
        <item m="1" x="171"/>
        <item m="1" x="696"/>
        <item m="1" x="108"/>
        <item m="1" x="836"/>
        <item m="1" x="883"/>
        <item x="6"/>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8"/>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2"/>
        <item x="17"/>
        <item m="1" x="866"/>
        <item m="1" x="713"/>
        <item m="1" x="810"/>
        <item m="1" x="193"/>
        <item m="1" x="132"/>
        <item m="1" x="773"/>
        <item m="1" x="209"/>
        <item m="1" x="455"/>
        <item m="1" x="925"/>
        <item m="1" x="435"/>
        <item m="1" x="766"/>
        <item m="1" x="186"/>
        <item m="1" x="391"/>
        <item m="1" x="117"/>
        <item m="1" x="281"/>
        <item m="1" x="945"/>
        <item m="1" x="489"/>
        <item m="1" x="362"/>
        <item m="1" x="111"/>
        <item x="16"/>
        <item m="1" x="393"/>
        <item x="19"/>
        <item x="3"/>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9"/>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5"/>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8"/>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20"/>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1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2" hier="-1"/>
    <pageField fld="104" hier="-1"/>
    <pageField fld="4" hier="-1"/>
    <pageField fld="6" hier="-1"/>
    <pageField fld="7" hier="-1"/>
  </pageFields>
  <formats count="31">
    <format dxfId="374">
      <pivotArea type="all" dataOnly="0" outline="0" fieldPosition="0"/>
    </format>
    <format dxfId="373">
      <pivotArea outline="0" collapsedLevelsAreSubtotals="1" fieldPosition="0"/>
    </format>
    <format dxfId="372">
      <pivotArea field="5" type="button" dataOnly="0" labelOnly="1" outline="0" axis="axisRow" fieldPosition="0"/>
    </format>
    <format dxfId="371">
      <pivotArea dataOnly="0" labelOnly="1" outline="0" axis="axisValues" fieldPosition="0"/>
    </format>
    <format dxfId="370">
      <pivotArea dataOnly="0" labelOnly="1" fieldPosition="0">
        <references count="1">
          <reference field="5" count="0"/>
        </references>
      </pivotArea>
    </format>
    <format dxfId="369">
      <pivotArea dataOnly="0" labelOnly="1" grandRow="1" outline="0" fieldPosition="0"/>
    </format>
    <format dxfId="368">
      <pivotArea dataOnly="0" labelOnly="1" outline="0" axis="axisValues" fieldPosition="0"/>
    </format>
    <format dxfId="367">
      <pivotArea type="all" dataOnly="0" outline="0" fieldPosition="0"/>
    </format>
    <format dxfId="366">
      <pivotArea field="5" type="button" dataOnly="0" labelOnly="1" outline="0" axis="axisRow" fieldPosition="0"/>
    </format>
    <format dxfId="365">
      <pivotArea dataOnly="0" labelOnly="1" outline="0" axis="axisValues" fieldPosition="0"/>
    </format>
    <format dxfId="364">
      <pivotArea dataOnly="0" labelOnly="1" fieldPosition="0">
        <references count="1">
          <reference field="5" count="0"/>
        </references>
      </pivotArea>
    </format>
    <format dxfId="363">
      <pivotArea dataOnly="0" labelOnly="1" outline="0" axis="axisValues" fieldPosition="0"/>
    </format>
    <format dxfId="362">
      <pivotArea field="5" type="button" dataOnly="0" labelOnly="1" outline="0" axis="axisRow" fieldPosition="0"/>
    </format>
    <format dxfId="361">
      <pivotArea type="all" dataOnly="0" outline="0" fieldPosition="0"/>
    </format>
    <format dxfId="360">
      <pivotArea field="5" type="button" dataOnly="0" labelOnly="1" outline="0" axis="axisRow" fieldPosition="0"/>
    </format>
    <format dxfId="359">
      <pivotArea type="all" dataOnly="0" outline="0" fieldPosition="0"/>
    </format>
    <format dxfId="358">
      <pivotArea outline="0" collapsedLevelsAreSubtotals="1" fieldPosition="0"/>
    </format>
    <format dxfId="357">
      <pivotArea field="5" type="button" dataOnly="0" labelOnly="1" outline="0" axis="axisRow" fieldPosition="0"/>
    </format>
    <format dxfId="356">
      <pivotArea dataOnly="0" labelOnly="1" fieldPosition="0">
        <references count="1">
          <reference field="5" count="2">
            <x v="30"/>
            <x v="36"/>
          </reference>
        </references>
      </pivotArea>
    </format>
    <format dxfId="355">
      <pivotArea field="5" type="button" dataOnly="0" labelOnly="1" outline="0" axis="axisRow" fieldPosition="0"/>
    </format>
    <format dxfId="354">
      <pivotArea type="all" dataOnly="0" outline="0" fieldPosition="0"/>
    </format>
    <format dxfId="353">
      <pivotArea outline="0" collapsedLevelsAreSubtotals="1" fieldPosition="0"/>
    </format>
    <format dxfId="352">
      <pivotArea field="5" type="button" dataOnly="0" labelOnly="1" outline="0" axis="axisRow" fieldPosition="0"/>
    </format>
    <format dxfId="351">
      <pivotArea dataOnly="0" labelOnly="1" fieldPosition="0">
        <references count="1">
          <reference field="5" count="5">
            <x v="9"/>
            <x v="10"/>
            <x v="23"/>
            <x v="30"/>
            <x v="36"/>
          </reference>
        </references>
      </pivotArea>
    </format>
    <format dxfId="350">
      <pivotArea dataOnly="0" labelOnly="1" grandRow="1" outline="0" fieldPosition="0"/>
    </format>
    <format dxfId="349">
      <pivotArea field="4" type="button" dataOnly="0" labelOnly="1" outline="0" axis="axisPage" fieldPosition="2"/>
    </format>
    <format dxfId="348">
      <pivotArea dataOnly="0" labelOnly="1" outline="0" fieldPosition="0">
        <references count="2">
          <reference field="0" count="1" selected="0">
            <x v="7"/>
          </reference>
          <reference field="4" count="1">
            <x v="1"/>
          </reference>
        </references>
      </pivotArea>
    </format>
    <format dxfId="347">
      <pivotArea dataOnly="0" labelOnly="1" outline="0" fieldPosition="0">
        <references count="2">
          <reference field="0" count="1" selected="0">
            <x v="8"/>
          </reference>
          <reference field="4" count="1">
            <x v="1"/>
          </reference>
        </references>
      </pivotArea>
    </format>
    <format dxfId="346">
      <pivotArea dataOnly="0" labelOnly="1" outline="0" fieldPosition="0">
        <references count="2">
          <reference field="0" count="1" selected="0">
            <x v="9"/>
          </reference>
          <reference field="4" count="1">
            <x v="1"/>
          </reference>
        </references>
      </pivotArea>
    </format>
    <format dxfId="345">
      <pivotArea dataOnly="0" labelOnly="1" outline="0" fieldPosition="0">
        <references count="2">
          <reference field="0" count="1" selected="0">
            <x v="10"/>
          </reference>
          <reference field="4" count="0"/>
        </references>
      </pivotArea>
    </format>
    <format dxfId="344">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6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rowHeaderCaption="Township">
  <location ref="J109:M114" firstHeaderRow="0" firstDataRow="1" firstDataCol="1" rowPageCount="1" colPageCount="1"/>
  <pivotFields count="122">
    <pivotField axis="axisPage" multipleItemSelectionAllowed="1" showAll="0">
      <items count="24">
        <item m="1" x="20"/>
        <item m="1" x="21"/>
        <item m="1" x="7"/>
        <item m="1" x="22"/>
        <item m="1" x="14"/>
        <item m="1" x="16"/>
        <item m="1" x="18"/>
        <item m="1" x="19"/>
        <item m="1" x="3"/>
        <item m="1" x="10"/>
        <item m="1" x="12"/>
        <item m="1" x="15"/>
        <item m="1" x="17"/>
        <item h="1" m="1" x="5"/>
        <item h="1" m="1" x="8"/>
        <item h="1" m="1" x="11"/>
        <item m="1" x="1"/>
        <item m="1" x="13"/>
        <item h="1" m="1" x="2"/>
        <item h="1" m="1" x="4"/>
        <item h="1" m="1" x="6"/>
        <item m="1" x="9"/>
        <item x="0"/>
        <item t="default"/>
      </items>
    </pivotField>
    <pivotField showAll="0"/>
    <pivotField showAll="0"/>
    <pivotField showAll="0"/>
    <pivotField showAll="0"/>
    <pivotField axis="axisRow" showAll="0">
      <items count="42">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28" baseField="0" baseItem="0"/>
    <dataField name="Average of Latrine Usage (PPL:1latrine)" fld="75" subtotal="average" baseField="5" baseItem="9" numFmtId="164"/>
  </dataFields>
  <formats count="1">
    <format dxfId="37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6"/>
        <item x="1"/>
        <item m="1" x="7"/>
        <item m="1" x="12"/>
        <item m="1" x="33"/>
        <item m="1" x="9"/>
        <item m="1" x="15"/>
        <item m="1" x="26"/>
        <item m="1" x="11"/>
        <item m="1" x="20"/>
        <item m="1" x="31"/>
        <item m="1" x="23"/>
        <item m="1" x="35"/>
        <item m="1" x="14"/>
        <item x="3"/>
        <item m="1" x="24"/>
        <item m="1" x="17"/>
        <item m="1" x="21"/>
        <item m="1" x="27"/>
        <item m="1" x="10"/>
        <item x="2"/>
        <item m="1" x="28"/>
        <item m="1" x="18"/>
        <item m="1" x="38"/>
        <item m="1" x="32"/>
        <item m="1" x="39"/>
        <item x="0"/>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hier="-1"/>
  </pageFields>
  <dataFields count="2">
    <dataField name=" % Water Coverage" fld="116" baseField="0" baseItem="0"/>
    <dataField name=" % Water GAP" fld="117" baseField="0" baseItem="0"/>
  </dataFields>
  <formats count="13">
    <format dxfId="388">
      <pivotArea field="4" type="button" dataOnly="0" labelOnly="1" outline="0" axis="axisPage" fieldPosition="2"/>
    </format>
    <format dxfId="387">
      <pivotArea type="all" dataOnly="0" outline="0" fieldPosition="0"/>
    </format>
    <format dxfId="386">
      <pivotArea outline="0" collapsedLevelsAreSubtotals="1" fieldPosition="0"/>
    </format>
    <format dxfId="385">
      <pivotArea field="4" type="button" dataOnly="0" labelOnly="1" outline="0" axis="axisPage" fieldPosition="2"/>
    </format>
    <format dxfId="384">
      <pivotArea type="all" dataOnly="0" outline="0" fieldPosition="0"/>
    </format>
    <format dxfId="383">
      <pivotArea outline="0" collapsedLevelsAreSubtotals="1" fieldPosition="0"/>
    </format>
    <format dxfId="382">
      <pivotArea outline="0" collapsedLevelsAreSubtotals="1" fieldPosition="0"/>
    </format>
    <format dxfId="381">
      <pivotArea field="5" type="button" dataOnly="0" labelOnly="1" outline="0" axis="axisRow" fieldPosition="0"/>
    </format>
    <format dxfId="380">
      <pivotArea field="5" type="button" dataOnly="0" labelOnly="1" outline="0" axis="axisRow" fieldPosition="0"/>
    </format>
    <format dxfId="379">
      <pivotArea field="5" type="button" dataOnly="0" labelOnly="1" outline="0" axis="axisRow" fieldPosition="0"/>
    </format>
    <format dxfId="378">
      <pivotArea field="4" type="button" dataOnly="0" labelOnly="1" outline="0" axis="axisPage" fieldPosition="2"/>
    </format>
    <format dxfId="377">
      <pivotArea dataOnly="0" labelOnly="1" outline="0" fieldPosition="0">
        <references count="2">
          <reference field="4" count="1">
            <x v="1"/>
          </reference>
          <reference field="104" count="1" selected="0">
            <x v="0"/>
          </reference>
        </references>
      </pivotArea>
    </format>
    <format dxfId="376">
      <pivotArea dataOnly="0" labelOnly="1" outline="0" fieldPosition="0">
        <references count="2">
          <reference field="4" count="1">
            <x v="2"/>
          </reference>
          <reference field="104"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67"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2:C223" firstHeaderRow="0" firstDataRow="1" firstDataCol="0" rowPageCount="2" colPageCount="1"/>
  <pivotFields count="122">
    <pivotField axis="axisPage" subtotalTop="0" multipleItemSelectionAllowed="1" showAll="0">
      <items count="24">
        <item h="1"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Average of %_of_women_and_girls_who_report_that_they_have_an_adequate_system_for_disposing_of_used_sanitary_pads" fld="47" subtotal="average" baseField="0" baseItem="1"/>
    <dataField name="Average of %_of_affected_people_who_report_handwashing_at_key_times" fld="48" subtotal="average" baseField="0" baseItem="1"/>
  </dataFields>
  <formats count="10">
    <format dxfId="398">
      <pivotArea type="all" dataOnly="0" outline="0" fieldPosition="0"/>
    </format>
    <format dxfId="397">
      <pivotArea type="all" dataOnly="0" outline="0" fieldPosition="0"/>
    </format>
    <format dxfId="396">
      <pivotArea outline="0" collapsedLevelsAreSubtotals="1" fieldPosition="0"/>
    </format>
    <format dxfId="395">
      <pivotArea field="4" type="button" dataOnly="0" labelOnly="1" outline="0"/>
    </format>
    <format dxfId="394">
      <pivotArea dataOnly="0" labelOnly="1" grandRow="1" outline="0" fieldPosition="0"/>
    </format>
    <format dxfId="393">
      <pivotArea type="all" dataOnly="0" outline="0" fieldPosition="0"/>
    </format>
    <format dxfId="392">
      <pivotArea outline="0" collapsedLevelsAreSubtotals="1" fieldPosition="0"/>
    </format>
    <format dxfId="391">
      <pivotArea field="4" type="button" dataOnly="0" labelOnly="1" outline="0"/>
    </format>
    <format dxfId="390">
      <pivotArea dataOnly="0" labelOnly="1" grandRow="1" outline="0" fieldPosition="0"/>
    </format>
    <format dxfId="389">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L30:P31"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04"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405">
      <pivotArea type="all" dataOnly="0" outline="0" fieldPosition="0"/>
    </format>
    <format dxfId="404">
      <pivotArea outline="0" collapsedLevelsAreSubtotals="1" fieldPosition="0"/>
    </format>
    <format dxfId="403">
      <pivotArea type="all" dataOnly="0" outline="0" fieldPosition="0"/>
    </format>
    <format dxfId="402">
      <pivotArea type="all" dataOnly="0" outline="0" fieldPosition="0"/>
    </format>
    <format dxfId="401">
      <pivotArea outline="0" collapsedLevelsAreSubtotals="1" fieldPosition="0"/>
    </format>
    <format dxfId="400">
      <pivotArea field="4" type="button" dataOnly="0" labelOnly="1" outline="0" axis="axisPage" fieldPosition="1"/>
    </format>
    <format dxfId="399">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33:D135" firstHeaderRow="1" firstDataRow="2" firstDataCol="1" rowPageCount="3"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39"/>
  </colFields>
  <colItems count="2">
    <i>
      <x v="1"/>
    </i>
    <i>
      <x v="2"/>
    </i>
  </colItems>
  <pageFields count="3">
    <pageField fld="0" hier="-1"/>
    <pageField fld="104" item="0" hier="-1"/>
    <pageField fld="6" hier="-1"/>
  </pageFields>
  <dataFields count="1">
    <dataField name="Count of Is_there_an_effective_solid_waste_management_system_in_place?" fld="39" subtotal="count" baseField="0" baseItem="0"/>
  </dataFields>
  <formats count="9">
    <format dxfId="414">
      <pivotArea type="all" dataOnly="0" outline="0" fieldPosition="0"/>
    </format>
    <format dxfId="413">
      <pivotArea outline="0" collapsedLevelsAreSubtotals="1" fieldPosition="0"/>
    </format>
    <format dxfId="412">
      <pivotArea type="origin" dataOnly="0" labelOnly="1" outline="0" fieldPosition="0"/>
    </format>
    <format dxfId="411">
      <pivotArea type="topRight" dataOnly="0" labelOnly="1" outline="0" fieldPosition="0"/>
    </format>
    <format dxfId="410">
      <pivotArea field="4" type="button" dataOnly="0" labelOnly="1" outline="0" axis="axisRow" fieldPosition="0"/>
    </format>
    <format dxfId="409">
      <pivotArea dataOnly="0" labelOnly="1" grandRow="1" outline="0" fieldPosition="0"/>
    </format>
    <format dxfId="408">
      <pivotArea dataOnly="0" labelOnly="1" grandCol="1" outline="0" fieldPosition="0"/>
    </format>
    <format dxfId="407">
      <pivotArea type="all" dataOnly="0" outline="0" fieldPosition="0"/>
    </format>
    <format dxfId="406">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FCDAB98-1B0B-4583-A55A-D6D67F57B678}" name="PivotTable2" cacheId="6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G3:H25" firstHeaderRow="1" firstDataRow="2" firstDataCol="1"/>
  <pivotFields count="122">
    <pivotField axis="axisCol" showAll="0">
      <items count="24">
        <item m="1" x="20"/>
        <item m="1" x="21"/>
        <item m="1" x="7"/>
        <item m="1" x="22"/>
        <item m="1" x="14"/>
        <item m="1" x="16"/>
        <item m="1" x="18"/>
        <item m="1" x="19"/>
        <item m="1" x="3"/>
        <item m="1" x="10"/>
        <item m="1" x="12"/>
        <item m="1" x="15"/>
        <item m="1" x="17"/>
        <item m="1" x="5"/>
        <item m="1" x="8"/>
        <item m="1" x="11"/>
        <item m="1" x="1"/>
        <item m="1" x="13"/>
        <item m="1" x="2"/>
        <item m="1" x="4"/>
        <item m="1" x="6"/>
        <item m="1" x="9"/>
        <item x="0"/>
        <item t="default"/>
      </items>
    </pivotField>
    <pivotField showAll="0"/>
    <pivotField showAll="0"/>
    <pivotField showAll="0"/>
    <pivotField showAll="0"/>
    <pivotField showAll="0"/>
    <pivotField showAll="0"/>
    <pivotField axis="axisRow" showAll="0">
      <items count="975">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5"/>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0"/>
        <item m="1" x="754"/>
        <item m="1" x="569"/>
        <item m="1" x="824"/>
        <item x="1"/>
        <item x="1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2"/>
        <item x="7"/>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4"/>
        <item m="1" x="269"/>
        <item m="1" x="816"/>
        <item m="1" x="218"/>
        <item m="1" x="670"/>
        <item m="1" x="905"/>
        <item m="1" x="520"/>
        <item m="1" x="219"/>
        <item m="1" x="253"/>
        <item m="1" x="329"/>
        <item m="1" x="748"/>
        <item m="1" x="171"/>
        <item m="1" x="696"/>
        <item m="1" x="108"/>
        <item m="1" x="836"/>
        <item m="1" x="883"/>
        <item x="6"/>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8"/>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2"/>
        <item x="17"/>
        <item m="1" x="866"/>
        <item m="1" x="713"/>
        <item m="1" x="810"/>
        <item m="1" x="193"/>
        <item m="1" x="132"/>
        <item m="1" x="773"/>
        <item m="1" x="209"/>
        <item m="1" x="455"/>
        <item m="1" x="925"/>
        <item m="1" x="435"/>
        <item m="1" x="766"/>
        <item m="1" x="186"/>
        <item m="1" x="391"/>
        <item m="1" x="117"/>
        <item m="1" x="281"/>
        <item m="1" x="945"/>
        <item m="1" x="489"/>
        <item m="1" x="362"/>
        <item m="1" x="111"/>
        <item x="16"/>
        <item m="1" x="393"/>
        <item x="19"/>
        <item x="3"/>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9"/>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5"/>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8"/>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20"/>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1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 t="default"/>
      </items>
    </pivotField>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64"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dataField="1"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0"/>
  </colFields>
  <colItems count="1">
    <i>
      <x v="22"/>
    </i>
  </colItems>
  <dataFields count="1">
    <dataField name="Sum of HRP3" fld="86" baseField="0" baseItem="0" numFmtId="164"/>
  </dataFields>
  <formats count="4">
    <format dxfId="865">
      <pivotArea outline="0" collapsedLevelsAreSubtotals="1" fieldPosition="0"/>
    </format>
    <format dxfId="864">
      <pivotArea field="0" type="button" dataOnly="0" labelOnly="1" outline="0" axis="axisCol" fieldPosition="0"/>
    </format>
    <format dxfId="863">
      <pivotArea type="topRight" dataOnly="0" labelOnly="1" outline="0" fieldPosition="0"/>
    </format>
    <format dxfId="86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P102:S106" firstHeaderRow="0" firstDataRow="1" firstDataCol="1" rowPageCount="3"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04" hier="-1"/>
  </pageFields>
  <dataFields count="3">
    <dataField name="# latrines (target)" fld="78" baseField="0" baseItem="0"/>
    <dataField name="Sum of #_Functional_adult_latrines" fld="28" baseField="6" baseItem="0"/>
    <dataField name="Sum of Latrines_Gap" fld="121" baseField="0" baseItem="0"/>
  </dataFields>
  <formats count="12">
    <format dxfId="426">
      <pivotArea field="4" type="button" dataOnly="0" labelOnly="1" outline="0" axis="axisPage" fieldPosition="1"/>
    </format>
    <format dxfId="425">
      <pivotArea type="all" dataOnly="0" outline="0" fieldPosition="0"/>
    </format>
    <format dxfId="424">
      <pivotArea outline="0" collapsedLevelsAreSubtotals="1" fieldPosition="0"/>
    </format>
    <format dxfId="423">
      <pivotArea type="origin" dataOnly="0" labelOnly="1" outline="0" fieldPosition="0"/>
    </format>
    <format dxfId="422">
      <pivotArea type="topRight" dataOnly="0" labelOnly="1" outline="0" fieldPosition="0"/>
    </format>
    <format dxfId="421">
      <pivotArea field="-2" type="button" dataOnly="0" labelOnly="1" outline="0" axis="axisCol" fieldPosition="0"/>
    </format>
    <format dxfId="420">
      <pivotArea type="all" dataOnly="0" outline="0" fieldPosition="0"/>
    </format>
    <format dxfId="419">
      <pivotArea outline="0" collapsedLevelsAreSubtotals="1" fieldPosition="0"/>
    </format>
    <format dxfId="418">
      <pivotArea dataOnly="0" labelOnly="1" outline="0" fieldPosition="0">
        <references count="1">
          <reference field="4294967294" count="1">
            <x v="0"/>
          </reference>
        </references>
      </pivotArea>
    </format>
    <format dxfId="417">
      <pivotArea field="4" type="button" dataOnly="0" labelOnly="1" outline="0" axis="axisPage" fieldPosition="1"/>
    </format>
    <format dxfId="416">
      <pivotArea dataOnly="0" labelOnly="1" outline="0" fieldPosition="0">
        <references count="1">
          <reference field="4" count="1">
            <x v="1"/>
          </reference>
        </references>
      </pivotArea>
    </format>
    <format dxfId="415">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55:E356" firstHeaderRow="0" firstDataRow="1" firstDataCol="0" rowPageCount="2" colPageCount="1"/>
  <pivotFields count="122">
    <pivotField axis="axisPage" subtotalTop="0" multipleItemSelectionAllowed="1" showAll="0">
      <items count="24">
        <item m="1" x="21"/>
        <item m="1" x="7"/>
        <item m="1" x="22"/>
        <item m="1" x="14"/>
        <item m="1" x="3"/>
        <item m="1" x="1"/>
        <item m="1" x="20"/>
        <item m="1" x="16"/>
        <item m="1" x="18"/>
        <item m="1" x="19"/>
        <item m="1" x="10"/>
        <item m="1" x="12"/>
        <item m="1" x="17"/>
        <item m="1" x="15"/>
        <item h="1" m="1" x="5"/>
        <item h="1" m="1" x="8"/>
        <item h="1" m="1" x="11"/>
        <item m="1" x="13"/>
        <item h="1" m="1" x="2"/>
        <item h="1" m="1" x="4"/>
        <item h="1" m="1" x="6"/>
        <item m="1" x="9"/>
        <item x="0"/>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04" hier="-1"/>
  </pageFields>
  <dataFields count="4">
    <dataField name="Average of %_of_affected_people_surveyed_who_report_feeling_satistfied_with_the_latrine_design_and_sanitation_service" fld="51" subtotal="average" baseField="0" baseItem="1"/>
    <dataField name="Average of %_of_affected_people_surveyed_who_report_feeling_satistfied_with_the_water_point_design_and_water_service" fld="52" subtotal="average" baseField="0" baseItem="1"/>
    <dataField name="Average of %_of_complaints_received_that_result_in_timely_corrective_action_and_feedback_to_the_community" fld="54" subtotal="average" baseField="10" baseItem="0"/>
    <dataField name="Average of %_of_affected_people_surveyed_who_report_feeling_informed_about_the_different_WASH_services_available_to_them" fld="53" subtotal="average" baseField="0" baseItem="3"/>
  </dataFields>
  <formats count="17">
    <format dxfId="443">
      <pivotArea type="all" dataOnly="0" outline="0" fieldPosition="0"/>
    </format>
    <format dxfId="442">
      <pivotArea outline="0" collapsedLevelsAreSubtotals="1" fieldPosition="0"/>
    </format>
    <format dxfId="441">
      <pivotArea field="4" type="button" dataOnly="0" labelOnly="1" outline="0"/>
    </format>
    <format dxfId="440">
      <pivotArea dataOnly="0" labelOnly="1" grandRow="1" outline="0" fieldPosition="0"/>
    </format>
    <format dxfId="439">
      <pivotArea type="all" dataOnly="0" outline="0" fieldPosition="0"/>
    </format>
    <format dxfId="438">
      <pivotArea outline="0" collapsedLevelsAreSubtotals="1" fieldPosition="0"/>
    </format>
    <format dxfId="437">
      <pivotArea type="origin" dataOnly="0" labelOnly="1" outline="0" fieldPosition="0"/>
    </format>
    <format dxfId="436">
      <pivotArea field="104" type="button" dataOnly="0" labelOnly="1" outline="0" axis="axisPage" fieldPosition="1"/>
    </format>
    <format dxfId="435">
      <pivotArea type="topRight" dataOnly="0" labelOnly="1" outline="0" fieldPosition="0"/>
    </format>
    <format dxfId="434">
      <pivotArea dataOnly="0" labelOnly="1" fieldPosition="0">
        <references count="1">
          <reference field="104" count="0"/>
        </references>
      </pivotArea>
    </format>
    <format dxfId="433">
      <pivotArea type="all" dataOnly="0" outline="0" fieldPosition="0"/>
    </format>
    <format dxfId="432">
      <pivotArea outline="0" collapsedLevelsAreSubtotals="1" fieldPosition="0"/>
    </format>
    <format dxfId="431">
      <pivotArea field="4" type="button" dataOnly="0" labelOnly="1" outline="0"/>
    </format>
    <format dxfId="430">
      <pivotArea field="4" type="button" dataOnly="0" labelOnly="1" outline="0"/>
    </format>
    <format dxfId="429">
      <pivotArea field="4" type="button" dataOnly="0" labelOnly="1" outline="0"/>
    </format>
    <format dxfId="428">
      <pivotArea field="4" type="button" dataOnly="0" labelOnly="1" outline="0"/>
    </format>
    <format dxfId="427">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B317:E318" firstHeaderRow="0" firstDataRow="1" firstDataCol="1" rowPageCount="2" colPageCount="1"/>
  <pivotFields count="122">
    <pivotField axis="axisPage" subtotalTop="0" multipleItemSelectionAllowed="1" showAll="0">
      <items count="24">
        <item m="1" x="21"/>
        <item m="1" x="7"/>
        <item m="1" x="22"/>
        <item m="1" x="14"/>
        <item m="1" x="3"/>
        <item m="1" x="1"/>
        <item m="1" x="20"/>
        <item m="1" x="16"/>
        <item m="1" x="18"/>
        <item m="1" x="19"/>
        <item m="1" x="10"/>
        <item m="1" x="12"/>
        <item m="1" x="17"/>
        <item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04" hier="-1"/>
  </pageFields>
  <dataFields count="3">
    <dataField name="# of latrines in TLS/CFS" fld="37" baseField="0" baseItem="0"/>
    <dataField name="# of latrines in THF" fld="38" baseField="4" baseItem="4"/>
    <dataField name="# of functional handwashing stations in TLS/CFS" fld="49" baseField="0" baseItem="0"/>
  </dataFields>
  <formats count="18">
    <format dxfId="461">
      <pivotArea type="all" dataOnly="0" outline="0" fieldPosition="0"/>
    </format>
    <format dxfId="460">
      <pivotArea outline="0" collapsedLevelsAreSubtotals="1" fieldPosition="0"/>
    </format>
    <format dxfId="459">
      <pivotArea field="4" type="button" dataOnly="0" labelOnly="1" outline="0" axis="axisRow" fieldPosition="0"/>
    </format>
    <format dxfId="458">
      <pivotArea dataOnly="0" labelOnly="1" grandRow="1" outline="0" fieldPosition="0"/>
    </format>
    <format dxfId="457">
      <pivotArea type="all" dataOnly="0" outline="0" fieldPosition="0"/>
    </format>
    <format dxfId="456">
      <pivotArea outline="0" collapsedLevelsAreSubtotals="1" fieldPosition="0"/>
    </format>
    <format dxfId="455">
      <pivotArea type="origin" dataOnly="0" labelOnly="1" outline="0" fieldPosition="0"/>
    </format>
    <format dxfId="454">
      <pivotArea field="104" type="button" dataOnly="0" labelOnly="1" outline="0" axis="axisPage" fieldPosition="1"/>
    </format>
    <format dxfId="453">
      <pivotArea type="topRight" dataOnly="0" labelOnly="1" outline="0" fieldPosition="0"/>
    </format>
    <format dxfId="452">
      <pivotArea dataOnly="0" labelOnly="1" fieldPosition="0">
        <references count="1">
          <reference field="104" count="0"/>
        </references>
      </pivotArea>
    </format>
    <format dxfId="451">
      <pivotArea type="all" dataOnly="0" outline="0" fieldPosition="0"/>
    </format>
    <format dxfId="450">
      <pivotArea outline="0" collapsedLevelsAreSubtotals="1" fieldPosition="0"/>
    </format>
    <format dxfId="449">
      <pivotArea field="4" type="button" dataOnly="0" labelOnly="1" outline="0" axis="axisRow" fieldPosition="0"/>
    </format>
    <format dxfId="448">
      <pivotArea dataOnly="0" labelOnly="1" fieldPosition="0">
        <references count="1">
          <reference field="4" count="0"/>
        </references>
      </pivotArea>
    </format>
    <format dxfId="447">
      <pivotArea outline="0" collapsedLevelsAreSubtotals="1" fieldPosition="0"/>
    </format>
    <format dxfId="446">
      <pivotArea field="4" type="button" dataOnly="0" labelOnly="1" outline="0" axis="axisRow" fieldPosition="0"/>
    </format>
    <format dxfId="445">
      <pivotArea field="4" type="button" dataOnly="0" labelOnly="1" outline="0" axis="axisRow" fieldPosition="0"/>
    </format>
    <format dxfId="444">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67"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rowHeaderCaption="State">
  <location ref="H317:I321" firstHeaderRow="1" firstDataRow="1" firstDataCol="1" rowPageCount="2" colPageCount="1"/>
  <pivotFields count="122">
    <pivotField axis="axisPage" subtotalTop="0" multipleItemSelectionAllowed="1" showAll="0">
      <items count="24">
        <item m="1" x="21"/>
        <item m="1" x="7"/>
        <item m="1" x="22"/>
        <item m="1" x="14"/>
        <item m="1" x="3"/>
        <item m="1" x="1"/>
        <item m="1" x="20"/>
        <item m="1" x="16"/>
        <item m="1" x="18"/>
        <item m="1" x="19"/>
        <item m="1" x="10"/>
        <item m="1" x="12"/>
        <item m="1" x="17"/>
        <item m="1" x="15"/>
        <item h="1" m="1" x="5"/>
        <item h="1" m="1" x="8"/>
        <item h="1" m="1" x="11"/>
        <item m="1" x="13"/>
        <item h="1" m="1" x="2"/>
        <item h="1" m="1" x="4"/>
        <item h="1" m="1" x="6"/>
        <item m="1" x="9"/>
        <item x="0"/>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04" hier="-1"/>
  </pageFields>
  <dataFields count="4">
    <dataField name=" #_PPL_accessed_water_in_TLS" fld="25" baseField="0" baseItem="0"/>
    <dataField name=" #_PPL_accessed_water_in_THF" fld="26" baseField="4" baseItem="1"/>
    <dataField name="# students access to functioning school latrines" fld="76" baseField="0" baseItem="0"/>
    <dataField name="Sum of # people access to functioning latrines in THF_HRP6" fld="77" baseField="0" baseItem="0"/>
  </dataFields>
  <formats count="17">
    <format dxfId="478">
      <pivotArea type="all" dataOnly="0" outline="0" fieldPosition="0"/>
    </format>
    <format dxfId="477">
      <pivotArea outline="0" collapsedLevelsAreSubtotals="1" fieldPosition="0"/>
    </format>
    <format dxfId="476">
      <pivotArea field="4" type="button" dataOnly="0" labelOnly="1" outline="0"/>
    </format>
    <format dxfId="475">
      <pivotArea dataOnly="0" labelOnly="1" grandRow="1" outline="0" fieldPosition="0"/>
    </format>
    <format dxfId="474">
      <pivotArea type="all" dataOnly="0" outline="0" fieldPosition="0"/>
    </format>
    <format dxfId="473">
      <pivotArea outline="0" collapsedLevelsAreSubtotals="1" fieldPosition="0"/>
    </format>
    <format dxfId="472">
      <pivotArea type="origin" dataOnly="0" labelOnly="1" outline="0" fieldPosition="0"/>
    </format>
    <format dxfId="471">
      <pivotArea field="104" type="button" dataOnly="0" labelOnly="1" outline="0" axis="axisPage" fieldPosition="1"/>
    </format>
    <format dxfId="470">
      <pivotArea type="topRight" dataOnly="0" labelOnly="1" outline="0" fieldPosition="0"/>
    </format>
    <format dxfId="469">
      <pivotArea dataOnly="0" labelOnly="1" fieldPosition="0">
        <references count="1">
          <reference field="104" count="0"/>
        </references>
      </pivotArea>
    </format>
    <format dxfId="468">
      <pivotArea type="all" dataOnly="0" outline="0" fieldPosition="0"/>
    </format>
    <format dxfId="467">
      <pivotArea outline="0" collapsedLevelsAreSubtotals="1" fieldPosition="0"/>
    </format>
    <format dxfId="466">
      <pivotArea field="4" type="button" dataOnly="0" labelOnly="1" outline="0"/>
    </format>
    <format dxfId="465">
      <pivotArea outline="0" collapsedLevelsAreSubtotals="1" fieldPosition="0"/>
    </format>
    <format dxfId="464">
      <pivotArea field="4" type="button" dataOnly="0" labelOnly="1" outline="0"/>
    </format>
    <format dxfId="463">
      <pivotArea field="4" type="button" dataOnly="0" labelOnly="1" outline="0"/>
    </format>
    <format dxfId="462">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68"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B53:B54"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36]" cap="36"/>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1"/>
        <item m="1" x="7"/>
        <item m="1" x="12"/>
        <item m="1" x="33"/>
        <item m="1" x="9"/>
        <item m="1" x="15"/>
        <item m="1" x="26"/>
        <item m="1" x="11"/>
        <item m="1" x="20"/>
        <item m="1" x="31"/>
        <item m="1" x="23"/>
        <item m="1" x="35"/>
        <item m="1" x="14"/>
        <item x="3"/>
        <item m="1" x="24"/>
        <item m="1" x="17"/>
        <item m="1" x="21"/>
        <item m="1" x="27"/>
        <item m="1" x="10"/>
        <item x="2"/>
        <item m="1" x="28"/>
        <item m="1" x="18"/>
        <item m="1" x="38"/>
        <item m="1" x="32"/>
        <item m="1" x="39"/>
        <item x="0"/>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Latrine Coverage" fld="118" baseField="0" baseItem="0" numFmtId="1"/>
    <dataField name="  % Latrine GAP" fld="119" baseField="0" baseItem="0" numFmtId="1"/>
  </dataFields>
  <formats count="12">
    <format dxfId="490">
      <pivotArea type="all" dataOnly="0" outline="0" fieldPosition="0"/>
    </format>
    <format dxfId="489">
      <pivotArea outline="0" collapsedLevelsAreSubtotals="1" fieldPosition="0"/>
    </format>
    <format dxfId="488">
      <pivotArea field="4" type="button" dataOnly="0" labelOnly="1" outline="0" axis="axisPage" fieldPosition="2"/>
    </format>
    <format dxfId="487">
      <pivotArea type="all" dataOnly="0" outline="0" fieldPosition="0"/>
    </format>
    <format dxfId="486">
      <pivotArea outline="0" collapsedLevelsAreSubtotals="1" fieldPosition="0"/>
    </format>
    <format dxfId="485">
      <pivotArea outline="0" collapsedLevelsAreSubtotals="1" fieldPosition="0"/>
    </format>
    <format dxfId="484">
      <pivotArea field="5" type="button" dataOnly="0" labelOnly="1" outline="0" axis="axisRow" fieldPosition="0"/>
    </format>
    <format dxfId="483">
      <pivotArea field="5" type="button" dataOnly="0" labelOnly="1" outline="0" axis="axisRow" fieldPosition="0"/>
    </format>
    <format dxfId="482">
      <pivotArea field="5" type="button" dataOnly="0" labelOnly="1" outline="0" axis="axisRow" fieldPosition="0"/>
    </format>
    <format dxfId="481">
      <pivotArea field="4" type="button" dataOnly="0" labelOnly="1" outline="0" axis="axisPage" fieldPosition="2"/>
    </format>
    <format dxfId="480">
      <pivotArea dataOnly="0" labelOnly="1" outline="0" fieldPosition="0">
        <references count="2">
          <reference field="4" count="1">
            <x v="0"/>
          </reference>
          <reference field="104" count="1" selected="0">
            <x v="0"/>
          </reference>
        </references>
      </pivotArea>
    </format>
    <format dxfId="479">
      <pivotArea dataOnly="0" labelOnly="1" outline="0" fieldPosition="0">
        <references count="2">
          <reference field="4" count="1">
            <x v="2"/>
          </reference>
          <reference field="104"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67"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35" firstHeaderRow="0" firstDataRow="1" firstDataCol="2" rowPageCount="1" colPageCount="1"/>
  <pivotFields count="122">
    <pivotField axis="axisPage" compact="0" outline="0" multipleItemSelectionAllowed="1" showAll="0">
      <items count="24">
        <item m="1" x="20"/>
        <item m="1" x="21"/>
        <item m="1" x="7"/>
        <item m="1" x="22"/>
        <item m="1" x="14"/>
        <item m="1" x="3"/>
        <item m="1" x="1"/>
        <item m="1" x="16"/>
        <item m="1" x="18"/>
        <item m="1" x="19"/>
        <item m="1" x="10"/>
        <item m="1" x="12"/>
        <item m="1" x="17"/>
        <item m="1" x="15"/>
        <item m="1" x="5"/>
        <item m="1" x="8"/>
        <item m="1" x="11"/>
        <item m="1" x="13"/>
        <item m="1" x="2"/>
        <item m="1" x="4"/>
        <item m="1" x="6"/>
        <item m="1" x="9"/>
        <item x="0"/>
        <item t="default"/>
      </items>
    </pivotField>
    <pivotField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1"/>
        <item m="1" x="8"/>
        <item m="1" x="19"/>
        <item x="0"/>
        <item m="1" x="43"/>
        <item m="1" x="25"/>
        <item m="1" x="9"/>
        <item m="1" x="16"/>
        <item x="5"/>
        <item x="2"/>
        <item m="1" x="29"/>
        <item m="1" x="45"/>
        <item m="1" x="12"/>
        <item x="4"/>
        <item m="1" x="37"/>
        <item m="1" x="26"/>
        <item m="1" x="30"/>
        <item m="1" x="38"/>
        <item m="1" x="36"/>
        <item m="1" x="6"/>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6"/>
        <item x="1"/>
        <item m="1" x="7"/>
        <item m="1" x="12"/>
        <item m="1" x="33"/>
        <item m="1" x="9"/>
        <item m="1" x="15"/>
        <item m="1" x="26"/>
        <item m="1" x="11"/>
        <item m="1" x="20"/>
        <item m="1" x="31"/>
        <item m="1" x="23"/>
        <item m="1" x="35"/>
        <item m="1" x="14"/>
        <item x="3"/>
        <item m="1" x="24"/>
        <item m="1" x="21"/>
        <item m="1" x="27"/>
        <item m="1" x="10"/>
        <item x="2"/>
        <item m="1" x="28"/>
        <item m="1" x="18"/>
        <item m="1" x="38"/>
        <item m="1" x="32"/>
        <item m="1" x="39"/>
        <item x="0"/>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86" baseField="0" baseItem="0"/>
    <dataField name="Number of people with equitable and continuous access to safe sanitation facilities" fld="74" baseField="0" baseItem="0"/>
    <dataField name="Number of people with equitable and continuous access to sufficient quantity of domestic water" fld="67" baseField="0" baseItem="0"/>
  </dataFields>
  <formats count="25">
    <format dxfId="67">
      <pivotArea field="4" type="button" dataOnly="0" labelOnly="1" outline="0" axis="axisRow" fieldPosition="0"/>
    </format>
    <format dxfId="66">
      <pivotArea field="5" type="button" dataOnly="0" labelOnly="1" outline="0" axis="axisRow" fieldPosition="1"/>
    </format>
    <format dxfId="65">
      <pivotArea dataOnly="0" labelOnly="1" outline="0" fieldPosition="0">
        <references count="1">
          <reference field="4294967294" count="1">
            <x v="0"/>
          </reference>
        </references>
      </pivotArea>
    </format>
    <format dxfId="64">
      <pivotArea field="4" type="button" dataOnly="0" labelOnly="1" outline="0" axis="axisRow" fieldPosition="0"/>
    </format>
    <format dxfId="63">
      <pivotArea field="5" type="button" dataOnly="0" labelOnly="1" outline="0" axis="axisRow" fieldPosition="1"/>
    </format>
    <format dxfId="62">
      <pivotArea dataOnly="0" labelOnly="1" outline="0" fieldPosition="0">
        <references count="1">
          <reference field="4294967294" count="1">
            <x v="0"/>
          </reference>
        </references>
      </pivotArea>
    </format>
    <format dxfId="61">
      <pivotArea field="4" type="button" dataOnly="0" labelOnly="1" outline="0" axis="axisRow" fieldPosition="0"/>
    </format>
    <format dxfId="60">
      <pivotArea field="5" type="button" dataOnly="0" labelOnly="1" outline="0" axis="axisRow" fieldPosition="1"/>
    </format>
    <format dxfId="59">
      <pivotArea dataOnly="0" labelOnly="1" outline="0" fieldPosition="0">
        <references count="1">
          <reference field="4294967294" count="1">
            <x v="0"/>
          </reference>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type="all" dataOnly="0" outline="0" fieldPosition="0"/>
    </format>
    <format dxfId="55">
      <pivotArea outline="0" collapsedLevelsAreSubtotals="1" fieldPosition="0"/>
    </format>
    <format dxfId="54">
      <pivotArea field="4" type="button" dataOnly="0" labelOnly="1" outline="0" axis="axisRow" fieldPosition="0"/>
    </format>
    <format dxfId="53">
      <pivotArea field="5" type="button" dataOnly="0" labelOnly="1" outline="0" axis="axisRow" fieldPosition="1"/>
    </format>
    <format dxfId="52">
      <pivotArea dataOnly="0" labelOnly="1" outline="0" fieldPosition="0">
        <references count="1">
          <reference field="4" count="0"/>
        </references>
      </pivotArea>
    </format>
    <format dxfId="51">
      <pivotArea dataOnly="0" labelOnly="1" outline="0" fieldPosition="0">
        <references count="1">
          <reference field="4" count="0" defaultSubtotal="1"/>
        </references>
      </pivotArea>
    </format>
    <format dxfId="50">
      <pivotArea dataOnly="0" labelOnly="1" grandRow="1" outline="0" fieldPosition="0"/>
    </format>
    <format dxfId="49">
      <pivotArea dataOnly="0" labelOnly="1" outline="0" fieldPosition="0">
        <references count="2">
          <reference field="4" count="1" selected="0">
            <x v="0"/>
          </reference>
          <reference field="5" count="13">
            <x v="1"/>
            <x v="3"/>
            <x v="4"/>
            <x v="12"/>
            <x v="16"/>
            <x v="17"/>
            <x v="18"/>
            <x v="22"/>
            <x v="28"/>
            <x v="31"/>
            <x v="33"/>
            <x v="34"/>
            <x v="35"/>
          </reference>
        </references>
      </pivotArea>
    </format>
    <format dxfId="48">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7">
      <pivotArea dataOnly="0" labelOnly="1" outline="0" fieldPosition="0">
        <references count="2">
          <reference field="4" count="1" selected="0">
            <x v="1"/>
          </reference>
          <reference field="5" count="12">
            <x v="0"/>
            <x v="2"/>
            <x v="8"/>
            <x v="9"/>
            <x v="14"/>
            <x v="15"/>
            <x v="19"/>
            <x v="21"/>
            <x v="26"/>
            <x v="27"/>
            <x v="30"/>
            <x v="32"/>
          </reference>
        </references>
      </pivotArea>
    </format>
    <format dxfId="46">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5">
      <pivotArea dataOnly="0" labelOnly="1" outline="0" fieldPosition="0">
        <references count="2">
          <reference field="4" count="1" selected="0">
            <x v="2"/>
          </reference>
          <reference field="5" count="7">
            <x v="5"/>
            <x v="6"/>
            <x v="7"/>
            <x v="13"/>
            <x v="20"/>
            <x v="23"/>
            <x v="24"/>
          </reference>
        </references>
      </pivotArea>
    </format>
    <format dxfId="44">
      <pivotArea dataOnly="0" labelOnly="1" outline="0" fieldPosition="0">
        <references count="2">
          <reference field="4" count="1" selected="0">
            <x v="2"/>
          </reference>
          <reference field="5" count="7" defaultSubtotal="1">
            <x v="5"/>
            <x v="6"/>
            <x v="7"/>
            <x v="13"/>
            <x v="20"/>
            <x v="23"/>
            <x v="24"/>
          </reference>
        </references>
      </pivotArea>
    </format>
    <format dxfId="43">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67"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39" firstHeaderRow="0" firstDataRow="1" firstDataCol="1" rowPageCount="3" colPageCount="1"/>
  <pivotFields count="122">
    <pivotField axis="axisPage" compact="0" outline="0" multipleItemSelectionAllowed="1" showAll="0">
      <items count="24">
        <item m="1" x="20"/>
        <item m="1" x="21"/>
        <item m="1" x="7"/>
        <item m="1" x="22"/>
        <item m="1" x="14"/>
        <item m="1" x="3"/>
        <item m="1" x="1"/>
        <item m="1" x="16"/>
        <item m="1" x="18"/>
        <item m="1" x="19"/>
        <item m="1" x="10"/>
        <item m="1" x="12"/>
        <item m="1" x="17"/>
        <item m="1" x="15"/>
        <item h="1" m="1" x="5"/>
        <item h="1" m="1" x="8"/>
        <item h="1" m="1" x="11"/>
        <item m="1" x="13"/>
        <item h="1" m="1" x="2"/>
        <item h="1" m="1" x="4"/>
        <item h="1" m="1" x="6"/>
        <item m="1" x="9"/>
        <item h="1" x="0"/>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1"/>
        <item m="1" x="42"/>
        <item m="1" x="41"/>
        <item x="0"/>
        <item m="1" x="29"/>
        <item m="1" x="8"/>
        <item x="5"/>
        <item x="2"/>
        <item m="1" x="44"/>
        <item m="1" x="28"/>
        <item m="1" x="11"/>
        <item x="4"/>
        <item m="1" x="37"/>
        <item m="1" x="22"/>
        <item m="1" x="27"/>
        <item m="1" x="26"/>
        <item m="1" x="30"/>
        <item m="1" x="38"/>
        <item m="1" x="6"/>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6"/>
        <item x="1"/>
        <item m="1" x="7"/>
        <item m="1" x="12"/>
        <item m="1" x="33"/>
        <item m="1" x="9"/>
        <item m="1" x="15"/>
        <item m="1" x="26"/>
        <item m="1" x="11"/>
        <item m="1" x="20"/>
        <item m="1" x="31"/>
        <item m="1" x="23"/>
        <item m="1" x="35"/>
        <item m="1" x="14"/>
        <item x="3"/>
        <item m="1" x="24"/>
        <item m="1" x="21"/>
        <item m="1" x="27"/>
        <item m="1" x="10"/>
        <item x="2"/>
        <item m="1" x="28"/>
        <item m="1" x="18"/>
        <item m="1" x="38"/>
        <item m="1" x="32"/>
        <item m="1" x="39"/>
        <item x="0"/>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5"/>
        <item m="1" x="835"/>
        <item m="1" x="863"/>
        <item m="1" x="239"/>
        <item m="1" x="716"/>
        <item m="1" x="272"/>
        <item m="1" x="290"/>
        <item m="1" x="288"/>
        <item m="1" x="197"/>
        <item m="1" x="116"/>
        <item m="1" x="915"/>
        <item m="1" x="956"/>
        <item m="1" x="642"/>
        <item m="1" x="346"/>
        <item m="1" x="225"/>
        <item m="1" x="448"/>
        <item m="1" x="273"/>
        <item x="0"/>
        <item m="1" x="754"/>
        <item m="1" x="824"/>
        <item x="1"/>
        <item x="1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4"/>
        <item m="1" x="218"/>
        <item m="1" x="670"/>
        <item m="1" x="253"/>
        <item m="1" x="329"/>
        <item m="1" x="748"/>
        <item m="1" x="171"/>
        <item m="1" x="836"/>
        <item m="1" x="883"/>
        <item x="6"/>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8"/>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2"/>
        <item x="17"/>
        <item m="1" x="866"/>
        <item m="1" x="810"/>
        <item m="1" x="193"/>
        <item m="1" x="132"/>
        <item m="1" x="773"/>
        <item m="1" x="209"/>
        <item m="1" x="455"/>
        <item m="1" x="435"/>
        <item m="1" x="766"/>
        <item m="1" x="186"/>
        <item m="1" x="391"/>
        <item m="1" x="117"/>
        <item m="1" x="281"/>
        <item m="1" x="489"/>
        <item m="1" x="362"/>
        <item m="1" x="111"/>
        <item x="16"/>
        <item m="1" x="393"/>
        <item x="19"/>
        <item x="3"/>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5"/>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8"/>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1"/>
        <item m="1" x="694"/>
        <item m="1" x="830"/>
        <item m="1" x="590"/>
        <item m="1" x="962"/>
        <item m="1" x="919"/>
        <item m="1" x="579"/>
        <item m="1" x="328"/>
        <item m="1" x="232"/>
        <item m="1" x="66"/>
        <item x="20"/>
        <item m="1" x="401"/>
        <item m="1" x="419"/>
        <item m="1" x="646"/>
        <item m="1" x="972"/>
        <item m="1" x="475"/>
        <item m="1" x="802"/>
        <item m="1" x="98"/>
        <item m="1" x="521"/>
        <item m="1" x="556"/>
        <item m="1" x="908"/>
        <item m="1" x="931"/>
        <item m="1" x="909"/>
        <item m="1" x="366"/>
        <item m="1" x="275"/>
        <item m="1" x="230"/>
        <item m="1" x="64"/>
        <item m="1" x="228"/>
        <item x="1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7"/>
        <item x="2"/>
        <item x="9"/>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67" dataPosition="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47" firstHeaderRow="0" firstDataRow="1" firstDataCol="2" rowPageCount="1" colPageCount="1"/>
  <pivotFields count="122">
    <pivotField axis="axisRow" compact="0" outline="0" showAll="0">
      <items count="24">
        <item m="1" x="20"/>
        <item m="1" x="21"/>
        <item m="1" x="7"/>
        <item m="1" x="22"/>
        <item m="1" x="14"/>
        <item m="1" x="16"/>
        <item m="1" x="18"/>
        <item m="1" x="19"/>
        <item m="1" x="3"/>
        <item m="1" x="1"/>
        <item m="1" x="10"/>
        <item m="1" x="12"/>
        <item m="1" x="17"/>
        <item m="1" x="15"/>
        <item m="1" x="5"/>
        <item m="1" x="8"/>
        <item m="1" x="11"/>
        <item m="1" x="13"/>
        <item m="1" x="2"/>
        <item m="1" x="4"/>
        <item m="1" x="6"/>
        <item m="1" x="9"/>
        <item x="0"/>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1"/>
        <item m="1" x="42"/>
        <item m="1" x="41"/>
        <item x="0"/>
        <item m="1" x="29"/>
        <item m="1" x="8"/>
        <item x="5"/>
        <item x="2"/>
        <item m="1" x="44"/>
        <item m="1" x="28"/>
        <item m="1" x="11"/>
        <item x="4"/>
        <item m="1" x="37"/>
        <item m="1" x="22"/>
        <item m="1" x="27"/>
        <item m="1" x="26"/>
        <item m="1" x="30"/>
        <item m="1" x="38"/>
        <item m="1" x="6"/>
      </items>
    </pivotField>
    <pivotField compact="0" outline="0" showAll="0"/>
    <pivotField compact="0" outline="0" showAll="0"/>
    <pivotField compact="0" outline="0" showAll="0">
      <items count="42">
        <item m="1" x="13"/>
        <item m="1" x="16"/>
        <item m="1" x="36"/>
        <item m="1" x="19"/>
        <item m="1" x="30"/>
        <item m="1" x="25"/>
        <item m="1" x="29"/>
        <item m="1" x="22"/>
        <item m="1" x="6"/>
        <item x="1"/>
        <item m="1" x="7"/>
        <item m="1" x="12"/>
        <item m="1" x="33"/>
        <item m="1" x="9"/>
        <item m="1" x="15"/>
        <item m="1" x="26"/>
        <item m="1" x="11"/>
        <item m="1" x="20"/>
        <item m="1" x="31"/>
        <item m="1" x="5"/>
        <item m="1" x="23"/>
        <item m="1" x="35"/>
        <item m="1" x="14"/>
        <item x="3"/>
        <item m="1" x="24"/>
        <item m="1" x="17"/>
        <item m="1" x="21"/>
        <item m="1" x="27"/>
        <item m="1" x="8"/>
        <item m="1" x="10"/>
        <item x="2"/>
        <item m="1" x="28"/>
        <item m="1" x="18"/>
        <item m="1" x="38"/>
        <item m="1" x="32"/>
        <item m="1" x="39"/>
        <item x="0"/>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5"/>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0"/>
        <item m="1" x="754"/>
        <item m="1" x="824"/>
        <item x="1"/>
        <item x="13"/>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14"/>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4"/>
        <item m="1" x="218"/>
        <item m="1" x="670"/>
        <item m="1" x="253"/>
        <item m="1" x="329"/>
        <item m="1" x="748"/>
        <item m="1" x="171"/>
        <item m="1" x="696"/>
        <item m="1" x="108"/>
        <item m="1" x="836"/>
        <item m="1" x="883"/>
        <item x="6"/>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8"/>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12"/>
        <item x="17"/>
        <item m="1" x="866"/>
        <item m="1" x="810"/>
        <item m="1" x="193"/>
        <item m="1" x="132"/>
        <item m="1" x="773"/>
        <item m="1" x="209"/>
        <item m="1" x="455"/>
        <item m="1" x="435"/>
        <item m="1" x="766"/>
        <item m="1" x="186"/>
        <item m="1" x="391"/>
        <item m="1" x="117"/>
        <item m="1" x="281"/>
        <item m="1" x="489"/>
        <item m="1" x="362"/>
        <item m="1" x="111"/>
        <item x="16"/>
        <item m="1" x="393"/>
        <item x="19"/>
        <item x="3"/>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5"/>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18"/>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1"/>
        <item m="1" x="933"/>
        <item m="1" x="934"/>
        <item m="1" x="747"/>
        <item m="1" x="935"/>
        <item m="1" x="694"/>
        <item m="1" x="830"/>
        <item m="1" x="36"/>
        <item m="1" x="590"/>
        <item m="1" x="962"/>
        <item m="1" x="919"/>
        <item m="1" x="579"/>
        <item m="1" x="413"/>
        <item m="1" x="328"/>
        <item m="1" x="232"/>
        <item m="1" x="66"/>
        <item x="20"/>
        <item m="1" x="401"/>
        <item m="1" x="419"/>
        <item m="1" x="646"/>
        <item m="1" x="972"/>
        <item m="1" x="898"/>
        <item m="1" x="475"/>
        <item m="1" x="802"/>
        <item m="1" x="98"/>
        <item m="1" x="287"/>
        <item m="1" x="521"/>
        <item m="1" x="556"/>
        <item m="1" x="908"/>
        <item m="1" x="931"/>
        <item m="1" x="909"/>
        <item m="1" x="589"/>
        <item m="1" x="510"/>
        <item m="1" x="366"/>
        <item m="1" x="275"/>
        <item m="1" x="230"/>
        <item m="1" x="64"/>
        <item m="1" x="228"/>
        <item x="1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7"/>
        <item x="2"/>
        <item x="9"/>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43">
    <i>
      <x v="25"/>
      <x v="22"/>
    </i>
    <i t="default">
      <x v="25"/>
    </i>
    <i>
      <x v="49"/>
      <x v="22"/>
    </i>
    <i t="default">
      <x v="49"/>
    </i>
    <i>
      <x v="52"/>
      <x v="22"/>
    </i>
    <i t="default">
      <x v="52"/>
    </i>
    <i>
      <x v="53"/>
      <x v="22"/>
    </i>
    <i t="default">
      <x v="53"/>
    </i>
    <i>
      <x v="84"/>
      <x v="22"/>
    </i>
    <i t="default">
      <x v="84"/>
    </i>
    <i>
      <x v="218"/>
      <x v="22"/>
    </i>
    <i t="default">
      <x v="218"/>
    </i>
    <i>
      <x v="229"/>
      <x v="22"/>
    </i>
    <i t="default">
      <x v="229"/>
    </i>
    <i>
      <x v="327"/>
      <x v="22"/>
    </i>
    <i t="default">
      <x v="327"/>
    </i>
    <i>
      <x v="418"/>
      <x v="22"/>
    </i>
    <i t="default">
      <x v="418"/>
    </i>
    <i>
      <x v="419"/>
      <x v="22"/>
    </i>
    <i t="default">
      <x v="419"/>
    </i>
    <i>
      <x v="436"/>
      <x v="22"/>
    </i>
    <i t="default">
      <x v="436"/>
    </i>
    <i>
      <x v="438"/>
      <x v="22"/>
    </i>
    <i t="default">
      <x v="438"/>
    </i>
    <i>
      <x v="439"/>
      <x v="22"/>
    </i>
    <i t="default">
      <x v="439"/>
    </i>
    <i>
      <x v="525"/>
      <x v="22"/>
    </i>
    <i t="default">
      <x v="525"/>
    </i>
    <i>
      <x v="563"/>
      <x v="22"/>
    </i>
    <i t="default">
      <x v="563"/>
    </i>
    <i>
      <x v="602"/>
      <x v="22"/>
    </i>
    <i t="default">
      <x v="602"/>
    </i>
    <i>
      <x v="618"/>
      <x v="22"/>
    </i>
    <i t="default">
      <x v="618"/>
    </i>
    <i>
      <x v="640"/>
      <x v="22"/>
    </i>
    <i t="default">
      <x v="640"/>
    </i>
    <i>
      <x v="724"/>
      <x v="22"/>
    </i>
    <i t="default">
      <x v="724"/>
    </i>
    <i>
      <x v="725"/>
      <x v="22"/>
    </i>
    <i t="default">
      <x v="725"/>
    </i>
    <i>
      <x v="726"/>
      <x v="22"/>
    </i>
    <i t="default">
      <x v="726"/>
    </i>
    <i t="grand">
      <x/>
    </i>
  </rowItems>
  <colFields count="1">
    <field x="-2"/>
  </colFields>
  <colItems count="3">
    <i>
      <x/>
    </i>
    <i i="1">
      <x v="1"/>
    </i>
    <i i="2">
      <x v="2"/>
    </i>
  </colItems>
  <pageFields count="1">
    <pageField fld="104" hier="-1"/>
  </pageFields>
  <dataFields count="3">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67"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9" firstHeaderRow="0" firstDataRow="1" firstDataCol="1" rowPageCount="1" colPageCount="1"/>
  <pivotFields count="122">
    <pivotField axis="axisRow" subtotalTop="0" showAll="0" defaultSubtotal="0">
      <items count="23">
        <item m="1" x="21"/>
        <item m="1" x="14"/>
        <item m="1" x="1"/>
        <item m="1" x="7"/>
        <item m="1" x="22"/>
        <item m="1" x="3"/>
        <item m="1" x="20"/>
        <item m="1" x="16"/>
        <item m="1" x="18"/>
        <item m="1" x="19"/>
        <item m="1" x="10"/>
        <item m="1" x="12"/>
        <item m="1" x="17"/>
        <item m="1" x="15"/>
        <item m="1" x="5"/>
        <item m="1" x="8"/>
        <item m="1" x="11"/>
        <item m="1" x="13"/>
        <item m="1" x="2"/>
        <item m="1" x="4"/>
        <item m="1" x="6"/>
        <item m="1" x="9"/>
        <item x="0"/>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2">
    <field x="4"/>
    <field x="0"/>
  </rowFields>
  <rowItems count="3">
    <i>
      <x v="1"/>
    </i>
    <i r="1">
      <x v="22"/>
    </i>
    <i t="grand">
      <x/>
    </i>
  </rowItems>
  <colFields count="1">
    <field x="-2"/>
  </colFields>
  <colItems count="8">
    <i>
      <x/>
    </i>
    <i i="1">
      <x v="1"/>
    </i>
    <i i="2">
      <x v="2"/>
    </i>
    <i i="3">
      <x v="3"/>
    </i>
    <i i="4">
      <x v="4"/>
    </i>
    <i i="5">
      <x v="5"/>
    </i>
    <i i="6">
      <x v="6"/>
    </i>
    <i i="7">
      <x v="7"/>
    </i>
  </colItems>
  <pageFields count="1">
    <pageField fld="104" item="0" hier="-1"/>
  </pageFields>
  <dataFields count="8">
    <dataField name="Total Population reached" fld="9" baseField="2" baseItem="0" numFmtId="3"/>
    <dataField name=" HRP1" fld="67" baseField="4" baseItem="0"/>
    <dataField name=" HRP2" fld="74" baseField="0" baseItem="0"/>
    <dataField name=" HRP3" fld="86" baseField="0" baseItem="0"/>
    <dataField name="HRP4 " fld="93" baseField="4" baseItem="4"/>
    <dataField name=" HRP5" fld="94" baseField="4" baseItem="4"/>
    <dataField name=" # People received regular supply of hygiene items" fld="85" baseField="0" baseItem="0"/>
    <dataField name=" # people reached by regular dedicated hygiene promotion" fld="82" baseField="0" baseItem="0"/>
  </dataFields>
  <formats count="50">
    <format dxfId="594">
      <pivotArea field="4" type="button" dataOnly="0" labelOnly="1" outline="0" axis="axisRow" fieldPosition="0"/>
    </format>
    <format dxfId="593">
      <pivotArea type="all" dataOnly="0" outline="0" fieldPosition="0"/>
    </format>
    <format dxfId="592">
      <pivotArea field="4" type="button" dataOnly="0" labelOnly="1" outline="0" axis="axisRow" fieldPosition="0"/>
    </format>
    <format dxfId="591">
      <pivotArea outline="0" fieldPosition="0">
        <references count="1">
          <reference field="4294967294" count="1">
            <x v="0"/>
          </reference>
        </references>
      </pivotArea>
    </format>
    <format dxfId="590">
      <pivotArea dataOnly="0" labelOnly="1" outline="0" fieldPosition="0">
        <references count="1">
          <reference field="4294967294" count="1">
            <x v="0"/>
          </reference>
        </references>
      </pivotArea>
    </format>
    <format dxfId="589">
      <pivotArea type="all" dataOnly="0" outline="0" fieldPosition="0"/>
    </format>
    <format dxfId="588">
      <pivotArea outline="0" collapsedLevelsAreSubtotals="1" fieldPosition="0"/>
    </format>
    <format dxfId="587">
      <pivotArea dataOnly="0" labelOnly="1" fieldPosition="0">
        <references count="1">
          <reference field="4" count="0"/>
        </references>
      </pivotArea>
    </format>
    <format dxfId="586">
      <pivotArea dataOnly="0" labelOnly="1" grandRow="1" outline="0" fieldPosition="0"/>
    </format>
    <format dxfId="585">
      <pivotArea dataOnly="0" labelOnly="1" outline="0" fieldPosition="0">
        <references count="1">
          <reference field="4294967294" count="1">
            <x v="0"/>
          </reference>
        </references>
      </pivotArea>
    </format>
    <format dxfId="584">
      <pivotArea type="all" dataOnly="0" outline="0" fieldPosition="0"/>
    </format>
    <format dxfId="583">
      <pivotArea outline="0" collapsedLevelsAreSubtotals="1" fieldPosition="0"/>
    </format>
    <format dxfId="582">
      <pivotArea dataOnly="0" labelOnly="1" fieldPosition="0">
        <references count="1">
          <reference field="4" count="0"/>
        </references>
      </pivotArea>
    </format>
    <format dxfId="581">
      <pivotArea dataOnly="0" labelOnly="1" grandRow="1" outline="0" fieldPosition="0"/>
    </format>
    <format dxfId="580">
      <pivotArea dataOnly="0" labelOnly="1" outline="0" fieldPosition="0">
        <references count="1">
          <reference field="4294967294" count="1">
            <x v="0"/>
          </reference>
        </references>
      </pivotArea>
    </format>
    <format dxfId="579">
      <pivotArea outline="0" collapsedLevelsAreSubtotals="1" fieldPosition="0"/>
    </format>
    <format dxfId="578">
      <pivotArea outline="0" collapsedLevelsAreSubtotals="1" fieldPosition="0">
        <references count="1">
          <reference field="4294967294" count="1" selected="0">
            <x v="1"/>
          </reference>
        </references>
      </pivotArea>
    </format>
    <format dxfId="577">
      <pivotArea dataOnly="0" labelOnly="1" outline="0" fieldPosition="0">
        <references count="1">
          <reference field="4294967294" count="1">
            <x v="1"/>
          </reference>
        </references>
      </pivotArea>
    </format>
    <format dxfId="576">
      <pivotArea outline="0" collapsedLevelsAreSubtotals="1" fieldPosition="0">
        <references count="1">
          <reference field="4294967294" count="1" selected="0">
            <x v="1"/>
          </reference>
        </references>
      </pivotArea>
    </format>
    <format dxfId="575">
      <pivotArea dataOnly="0" labelOnly="1" outline="0" fieldPosition="0">
        <references count="1">
          <reference field="4294967294" count="1">
            <x v="1"/>
          </reference>
        </references>
      </pivotArea>
    </format>
    <format dxfId="574">
      <pivotArea outline="0" collapsedLevelsAreSubtotals="1" fieldPosition="0">
        <references count="1">
          <reference field="4294967294" count="1" selected="0">
            <x v="2"/>
          </reference>
        </references>
      </pivotArea>
    </format>
    <format dxfId="573">
      <pivotArea dataOnly="0" labelOnly="1" outline="0" fieldPosition="0">
        <references count="1">
          <reference field="4294967294" count="1">
            <x v="2"/>
          </reference>
        </references>
      </pivotArea>
    </format>
    <format dxfId="572">
      <pivotArea outline="0" collapsedLevelsAreSubtotals="1" fieldPosition="0">
        <references count="1">
          <reference field="4294967294" count="1" selected="0">
            <x v="2"/>
          </reference>
        </references>
      </pivotArea>
    </format>
    <format dxfId="571">
      <pivotArea dataOnly="0" labelOnly="1" outline="0" fieldPosition="0">
        <references count="1">
          <reference field="4294967294" count="1">
            <x v="2"/>
          </reference>
        </references>
      </pivotArea>
    </format>
    <format dxfId="570">
      <pivotArea outline="0" collapsedLevelsAreSubtotals="1" fieldPosition="0">
        <references count="1">
          <reference field="4294967294" count="1" selected="0">
            <x v="3"/>
          </reference>
        </references>
      </pivotArea>
    </format>
    <format dxfId="569">
      <pivotArea dataOnly="0" labelOnly="1" outline="0" fieldPosition="0">
        <references count="1">
          <reference field="4294967294" count="1">
            <x v="3"/>
          </reference>
        </references>
      </pivotArea>
    </format>
    <format dxfId="568">
      <pivotArea outline="0" collapsedLevelsAreSubtotals="1" fieldPosition="0">
        <references count="1">
          <reference field="4294967294" count="1" selected="0">
            <x v="3"/>
          </reference>
        </references>
      </pivotArea>
    </format>
    <format dxfId="567">
      <pivotArea dataOnly="0" labelOnly="1" outline="0" fieldPosition="0">
        <references count="1">
          <reference field="4294967294" count="1">
            <x v="3"/>
          </reference>
        </references>
      </pivotArea>
    </format>
    <format dxfId="566">
      <pivotArea outline="0" collapsedLevelsAreSubtotals="1" fieldPosition="0">
        <references count="1">
          <reference field="4294967294" count="1" selected="0">
            <x v="0"/>
          </reference>
        </references>
      </pivotArea>
    </format>
    <format dxfId="565">
      <pivotArea dataOnly="0" labelOnly="1" outline="0" fieldPosition="0">
        <references count="1">
          <reference field="4294967294" count="1">
            <x v="0"/>
          </reference>
        </references>
      </pivotArea>
    </format>
    <format dxfId="564">
      <pivotArea outline="0" collapsedLevelsAreSubtotals="1" fieldPosition="0">
        <references count="1">
          <reference field="4294967294" count="1" selected="0">
            <x v="0"/>
          </reference>
        </references>
      </pivotArea>
    </format>
    <format dxfId="563">
      <pivotArea dataOnly="0" labelOnly="1" outline="0" fieldPosition="0">
        <references count="1">
          <reference field="4294967294" count="1">
            <x v="0"/>
          </reference>
        </references>
      </pivotArea>
    </format>
    <format dxfId="562">
      <pivotArea dataOnly="0" labelOnly="1" outline="0" fieldPosition="0">
        <references count="1">
          <reference field="4294967294" count="4">
            <x v="0"/>
            <x v="1"/>
            <x v="2"/>
            <x v="3"/>
          </reference>
        </references>
      </pivotArea>
    </format>
    <format dxfId="561">
      <pivotArea dataOnly="0" labelOnly="1" outline="0" fieldPosition="0">
        <references count="1">
          <reference field="4294967294" count="4">
            <x v="0"/>
            <x v="1"/>
            <x v="2"/>
            <x v="3"/>
          </reference>
        </references>
      </pivotArea>
    </format>
    <format dxfId="560">
      <pivotArea dataOnly="0" labelOnly="1" outline="0" fieldPosition="0">
        <references count="1">
          <reference field="4294967294" count="1">
            <x v="6"/>
          </reference>
        </references>
      </pivotArea>
    </format>
    <format dxfId="559">
      <pivotArea dataOnly="0" labelOnly="1" outline="0" fieldPosition="0">
        <references count="1">
          <reference field="4294967294" count="1">
            <x v="6"/>
          </reference>
        </references>
      </pivotArea>
    </format>
    <format dxfId="558">
      <pivotArea outline="0" collapsedLevelsAreSubtotals="1" fieldPosition="0">
        <references count="1">
          <reference field="4294967294" count="1" selected="0">
            <x v="6"/>
          </reference>
        </references>
      </pivotArea>
    </format>
    <format dxfId="557">
      <pivotArea dataOnly="0" labelOnly="1" outline="0" fieldPosition="0">
        <references count="1">
          <reference field="4294967294" count="1">
            <x v="7"/>
          </reference>
        </references>
      </pivotArea>
    </format>
    <format dxfId="556">
      <pivotArea collapsedLevelsAreSubtotals="1" fieldPosition="0">
        <references count="2">
          <reference field="4294967294" count="1" selected="0">
            <x v="7"/>
          </reference>
          <reference field="4" count="1">
            <x v="0"/>
          </reference>
        </references>
      </pivotArea>
    </format>
    <format dxfId="555">
      <pivotArea outline="0" collapsedLevelsAreSubtotals="1" fieldPosition="0">
        <references count="1">
          <reference field="4294967294" count="2" selected="0">
            <x v="6"/>
            <x v="7"/>
          </reference>
        </references>
      </pivotArea>
    </format>
    <format dxfId="554">
      <pivotArea dataOnly="0" labelOnly="1" outline="0" fieldPosition="0">
        <references count="1">
          <reference field="4294967294" count="2">
            <x v="6"/>
            <x v="7"/>
          </reference>
        </references>
      </pivotArea>
    </format>
    <format dxfId="553">
      <pivotArea outline="0" collapsedLevelsAreSubtotals="1" fieldPosition="0">
        <references count="1">
          <reference field="4294967294" count="2" selected="0">
            <x v="6"/>
            <x v="7"/>
          </reference>
        </references>
      </pivotArea>
    </format>
    <format dxfId="552">
      <pivotArea dataOnly="0" labelOnly="1" outline="0" fieldPosition="0">
        <references count="1">
          <reference field="4294967294" count="2">
            <x v="6"/>
            <x v="7"/>
          </reference>
        </references>
      </pivotArea>
    </format>
    <format dxfId="551">
      <pivotArea outline="0" collapsedLevelsAreSubtotals="1" fieldPosition="0">
        <references count="1">
          <reference field="4294967294" count="1" selected="0">
            <x v="4"/>
          </reference>
        </references>
      </pivotArea>
    </format>
    <format dxfId="550">
      <pivotArea dataOnly="0" labelOnly="1" outline="0" fieldPosition="0">
        <references count="1">
          <reference field="4294967294" count="1">
            <x v="4"/>
          </reference>
        </references>
      </pivotArea>
    </format>
    <format dxfId="549">
      <pivotArea dataOnly="0" labelOnly="1" outline="0" fieldPosition="0">
        <references count="1">
          <reference field="4294967294" count="1">
            <x v="4"/>
          </reference>
        </references>
      </pivotArea>
    </format>
    <format dxfId="548">
      <pivotArea dataOnly="0" labelOnly="1" outline="0" fieldPosition="0">
        <references count="1">
          <reference field="4294967294" count="1">
            <x v="4"/>
          </reference>
        </references>
      </pivotArea>
    </format>
    <format dxfId="547">
      <pivotArea dataOnly="0" labelOnly="1" outline="0" fieldPosition="0">
        <references count="1">
          <reference field="4294967294" count="1">
            <x v="5"/>
          </reference>
        </references>
      </pivotArea>
    </format>
    <format dxfId="546">
      <pivotArea outline="0" collapsedLevelsAreSubtotals="1" fieldPosition="0">
        <references count="1">
          <reference field="4294967294" count="1" selected="0">
            <x v="5"/>
          </reference>
        </references>
      </pivotArea>
    </format>
    <format dxfId="545">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67"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A4:N25" firstHeaderRow="0" firstDataRow="1" firstDataCol="1" rowPageCount="1" colPageCount="1"/>
  <pivotFields count="122">
    <pivotField subtotalTop="0" showAll="0" defaultSubtotal="0"/>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5"/>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0"/>
        <item m="1" x="754"/>
        <item m="1" x="569"/>
        <item m="1" x="824"/>
        <item x="1"/>
        <item x="1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2"/>
        <item x="7"/>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4"/>
        <item m="1" x="269"/>
        <item m="1" x="816"/>
        <item m="1" x="218"/>
        <item m="1" x="670"/>
        <item m="1" x="905"/>
        <item m="1" x="520"/>
        <item m="1" x="219"/>
        <item m="1" x="253"/>
        <item m="1" x="329"/>
        <item m="1" x="748"/>
        <item m="1" x="171"/>
        <item m="1" x="696"/>
        <item m="1" x="108"/>
        <item m="1" x="836"/>
        <item m="1" x="883"/>
        <item x="6"/>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8"/>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2"/>
        <item x="17"/>
        <item m="1" x="866"/>
        <item m="1" x="713"/>
        <item m="1" x="810"/>
        <item m="1" x="193"/>
        <item m="1" x="132"/>
        <item m="1" x="773"/>
        <item m="1" x="209"/>
        <item m="1" x="455"/>
        <item m="1" x="925"/>
        <item m="1" x="435"/>
        <item m="1" x="766"/>
        <item m="1" x="186"/>
        <item m="1" x="391"/>
        <item m="1" x="117"/>
        <item m="1" x="281"/>
        <item m="1" x="945"/>
        <item m="1" x="489"/>
        <item m="1" x="362"/>
        <item m="1" x="111"/>
        <item x="16"/>
        <item m="1" x="393"/>
        <item x="19"/>
        <item x="3"/>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9"/>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5"/>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8"/>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20"/>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1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1">
    <pageField fld="104" item="0" hier="-1"/>
  </pageFields>
  <dataFields count="13">
    <dataField name="Max of Total PoP " fld="9" subtotal="max" baseField="7" baseItem="30" numFmtId="3"/>
    <dataField name="Max of HRP1" fld="67" subtotal="max" baseField="7" baseItem="30"/>
    <dataField name="Max of HRP2" fld="74" subtotal="max" baseField="7" baseItem="30"/>
    <dataField name="Max of HRP3" fld="86" subtotal="max" baseField="7" baseItem="30"/>
    <dataField name="Max of HRP4" fld="93" subtotal="max" baseField="7" baseItem="30"/>
    <dataField name="Max of HRP5" fld="94" subtotal="max" baseField="7" baseItem="30"/>
    <dataField name="Max of HRP6" fld="95" subtotal="max" baseField="7" baseItem="30"/>
    <dataField name="Max of hygiene items" fld="85" subtotal="max" baseField="7" baseItem="30"/>
    <dataField name="Max of # people reached by regular dedicated hygiene promotion_5" fld="8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76" subtotal="max" baseField="7" baseItem="30"/>
    <dataField name="Max of # people access to functioning latrines in THF_HRP6" fld="77" subtotal="max" baseField="7" baseItem="30"/>
  </dataFields>
  <formats count="54">
    <format dxfId="544">
      <pivotArea field="4" type="button" dataOnly="0" labelOnly="1" outline="0"/>
    </format>
    <format dxfId="543">
      <pivotArea type="all" dataOnly="0" outline="0" fieldPosition="0"/>
    </format>
    <format dxfId="542">
      <pivotArea field="4" type="button" dataOnly="0" labelOnly="1" outline="0"/>
    </format>
    <format dxfId="541">
      <pivotArea outline="0" fieldPosition="0">
        <references count="1">
          <reference field="4294967294" count="1">
            <x v="0"/>
          </reference>
        </references>
      </pivotArea>
    </format>
    <format dxfId="540">
      <pivotArea dataOnly="0" labelOnly="1" outline="0" fieldPosition="0">
        <references count="1">
          <reference field="4294967294" count="1">
            <x v="0"/>
          </reference>
        </references>
      </pivotArea>
    </format>
    <format dxfId="539">
      <pivotArea type="all" dataOnly="0" outline="0" fieldPosition="0"/>
    </format>
    <format dxfId="538">
      <pivotArea outline="0" collapsedLevelsAreSubtotals="1" fieldPosition="0"/>
    </format>
    <format dxfId="537">
      <pivotArea dataOnly="0" labelOnly="1" grandRow="1" outline="0" fieldPosition="0"/>
    </format>
    <format dxfId="536">
      <pivotArea dataOnly="0" labelOnly="1" outline="0" fieldPosition="0">
        <references count="1">
          <reference field="4294967294" count="1">
            <x v="0"/>
          </reference>
        </references>
      </pivotArea>
    </format>
    <format dxfId="535">
      <pivotArea type="all" dataOnly="0" outline="0" fieldPosition="0"/>
    </format>
    <format dxfId="534">
      <pivotArea outline="0" collapsedLevelsAreSubtotals="1" fieldPosition="0"/>
    </format>
    <format dxfId="533">
      <pivotArea dataOnly="0" labelOnly="1" grandRow="1" outline="0" fieldPosition="0"/>
    </format>
    <format dxfId="532">
      <pivotArea dataOnly="0" labelOnly="1" outline="0" fieldPosition="0">
        <references count="1">
          <reference field="4294967294" count="1">
            <x v="0"/>
          </reference>
        </references>
      </pivotArea>
    </format>
    <format dxfId="531">
      <pivotArea outline="0" collapsedLevelsAreSubtotals="1" fieldPosition="0"/>
    </format>
    <format dxfId="530">
      <pivotArea outline="0" collapsedLevelsAreSubtotals="1" fieldPosition="0">
        <references count="1">
          <reference field="4294967294" count="1" selected="0">
            <x v="1"/>
          </reference>
        </references>
      </pivotArea>
    </format>
    <format dxfId="529">
      <pivotArea dataOnly="0" labelOnly="1" outline="0" fieldPosition="0">
        <references count="1">
          <reference field="4294967294" count="1">
            <x v="1"/>
          </reference>
        </references>
      </pivotArea>
    </format>
    <format dxfId="528">
      <pivotArea outline="0" collapsedLevelsAreSubtotals="1" fieldPosition="0">
        <references count="1">
          <reference field="4294967294" count="1" selected="0">
            <x v="1"/>
          </reference>
        </references>
      </pivotArea>
    </format>
    <format dxfId="527">
      <pivotArea dataOnly="0" labelOnly="1" outline="0" fieldPosition="0">
        <references count="1">
          <reference field="4294967294" count="1">
            <x v="1"/>
          </reference>
        </references>
      </pivotArea>
    </format>
    <format dxfId="526">
      <pivotArea outline="0" collapsedLevelsAreSubtotals="1" fieldPosition="0">
        <references count="1">
          <reference field="4294967294" count="1" selected="0">
            <x v="2"/>
          </reference>
        </references>
      </pivotArea>
    </format>
    <format dxfId="525">
      <pivotArea dataOnly="0" labelOnly="1" outline="0" fieldPosition="0">
        <references count="1">
          <reference field="4294967294" count="1">
            <x v="2"/>
          </reference>
        </references>
      </pivotArea>
    </format>
    <format dxfId="524">
      <pivotArea outline="0" collapsedLevelsAreSubtotals="1" fieldPosition="0">
        <references count="1">
          <reference field="4294967294" count="1" selected="0">
            <x v="2"/>
          </reference>
        </references>
      </pivotArea>
    </format>
    <format dxfId="523">
      <pivotArea dataOnly="0" labelOnly="1" outline="0" fieldPosition="0">
        <references count="1">
          <reference field="4294967294" count="1">
            <x v="2"/>
          </reference>
        </references>
      </pivotArea>
    </format>
    <format dxfId="522">
      <pivotArea outline="0" collapsedLevelsAreSubtotals="1" fieldPosition="0">
        <references count="1">
          <reference field="4294967294" count="1" selected="0">
            <x v="3"/>
          </reference>
        </references>
      </pivotArea>
    </format>
    <format dxfId="521">
      <pivotArea dataOnly="0" labelOnly="1" outline="0" fieldPosition="0">
        <references count="1">
          <reference field="4294967294" count="1">
            <x v="3"/>
          </reference>
        </references>
      </pivotArea>
    </format>
    <format dxfId="520">
      <pivotArea outline="0" collapsedLevelsAreSubtotals="1" fieldPosition="0">
        <references count="1">
          <reference field="4294967294" count="1" selected="0">
            <x v="3"/>
          </reference>
        </references>
      </pivotArea>
    </format>
    <format dxfId="519">
      <pivotArea dataOnly="0" labelOnly="1" outline="0" fieldPosition="0">
        <references count="1">
          <reference field="4294967294" count="1">
            <x v="3"/>
          </reference>
        </references>
      </pivotArea>
    </format>
    <format dxfId="518">
      <pivotArea outline="0" collapsedLevelsAreSubtotals="1" fieldPosition="0">
        <references count="1">
          <reference field="4294967294" count="1" selected="0">
            <x v="0"/>
          </reference>
        </references>
      </pivotArea>
    </format>
    <format dxfId="517">
      <pivotArea dataOnly="0" labelOnly="1" outline="0" fieldPosition="0">
        <references count="1">
          <reference field="4294967294" count="1">
            <x v="0"/>
          </reference>
        </references>
      </pivotArea>
    </format>
    <format dxfId="516">
      <pivotArea outline="0" collapsedLevelsAreSubtotals="1" fieldPosition="0">
        <references count="1">
          <reference field="4294967294" count="1" selected="0">
            <x v="0"/>
          </reference>
        </references>
      </pivotArea>
    </format>
    <format dxfId="515">
      <pivotArea dataOnly="0" labelOnly="1" outline="0" fieldPosition="0">
        <references count="1">
          <reference field="4294967294" count="1">
            <x v="0"/>
          </reference>
        </references>
      </pivotArea>
    </format>
    <format dxfId="514">
      <pivotArea dataOnly="0" labelOnly="1" outline="0" fieldPosition="0">
        <references count="1">
          <reference field="4294967294" count="4">
            <x v="0"/>
            <x v="1"/>
            <x v="2"/>
            <x v="3"/>
          </reference>
        </references>
      </pivotArea>
    </format>
    <format dxfId="513">
      <pivotArea dataOnly="0" labelOnly="1" outline="0" fieldPosition="0">
        <references count="1">
          <reference field="4294967294" count="4">
            <x v="0"/>
            <x v="1"/>
            <x v="2"/>
            <x v="3"/>
          </reference>
        </references>
      </pivotArea>
    </format>
    <format dxfId="512">
      <pivotArea dataOnly="0" labelOnly="1" outline="0" fieldPosition="0">
        <references count="1">
          <reference field="4294967294" count="1">
            <x v="7"/>
          </reference>
        </references>
      </pivotArea>
    </format>
    <format dxfId="511">
      <pivotArea dataOnly="0" labelOnly="1" outline="0" fieldPosition="0">
        <references count="1">
          <reference field="4294967294" count="1">
            <x v="7"/>
          </reference>
        </references>
      </pivotArea>
    </format>
    <format dxfId="510">
      <pivotArea outline="0" collapsedLevelsAreSubtotals="1" fieldPosition="0">
        <references count="1">
          <reference field="4294967294" count="1" selected="0">
            <x v="7"/>
          </reference>
        </references>
      </pivotArea>
    </format>
    <format dxfId="509">
      <pivotArea dataOnly="0" labelOnly="1" outline="0" fieldPosition="0">
        <references count="1">
          <reference field="4294967294" count="1">
            <x v="8"/>
          </reference>
        </references>
      </pivotArea>
    </format>
    <format dxfId="508">
      <pivotArea outline="0" collapsedLevelsAreSubtotals="1" fieldPosition="0">
        <references count="1">
          <reference field="4294967294" count="2" selected="0">
            <x v="7"/>
            <x v="8"/>
          </reference>
        </references>
      </pivotArea>
    </format>
    <format dxfId="507">
      <pivotArea dataOnly="0" labelOnly="1" outline="0" fieldPosition="0">
        <references count="1">
          <reference field="4294967294" count="2">
            <x v="7"/>
            <x v="8"/>
          </reference>
        </references>
      </pivotArea>
    </format>
    <format dxfId="506">
      <pivotArea outline="0" collapsedLevelsAreSubtotals="1" fieldPosition="0">
        <references count="1">
          <reference field="4294967294" count="2" selected="0">
            <x v="7"/>
            <x v="8"/>
          </reference>
        </references>
      </pivotArea>
    </format>
    <format dxfId="505">
      <pivotArea dataOnly="0" labelOnly="1" outline="0" fieldPosition="0">
        <references count="1">
          <reference field="4294967294" count="2">
            <x v="7"/>
            <x v="8"/>
          </reference>
        </references>
      </pivotArea>
    </format>
    <format dxfId="504">
      <pivotArea outline="0" collapsedLevelsAreSubtotals="1" fieldPosition="0">
        <references count="1">
          <reference field="4294967294" count="1" selected="0">
            <x v="4"/>
          </reference>
        </references>
      </pivotArea>
    </format>
    <format dxfId="503">
      <pivotArea dataOnly="0" labelOnly="1" outline="0" fieldPosition="0">
        <references count="1">
          <reference field="4294967294" count="1">
            <x v="4"/>
          </reference>
        </references>
      </pivotArea>
    </format>
    <format dxfId="502">
      <pivotArea dataOnly="0" labelOnly="1" outline="0" fieldPosition="0">
        <references count="1">
          <reference field="4294967294" count="1">
            <x v="4"/>
          </reference>
        </references>
      </pivotArea>
    </format>
    <format dxfId="501">
      <pivotArea dataOnly="0" labelOnly="1" outline="0" fieldPosition="0">
        <references count="1">
          <reference field="4294967294" count="1">
            <x v="4"/>
          </reference>
        </references>
      </pivotArea>
    </format>
    <format dxfId="500">
      <pivotArea dataOnly="0" labelOnly="1" outline="0" fieldPosition="0">
        <references count="1">
          <reference field="4294967294" count="1">
            <x v="5"/>
          </reference>
        </references>
      </pivotArea>
    </format>
    <format dxfId="499">
      <pivotArea outline="0" collapsedLevelsAreSubtotals="1" fieldPosition="0">
        <references count="1">
          <reference field="4294967294" count="1" selected="0">
            <x v="5"/>
          </reference>
        </references>
      </pivotArea>
    </format>
    <format dxfId="498">
      <pivotArea dataOnly="0" labelOnly="1" outline="0" fieldPosition="0">
        <references count="1">
          <reference field="4294967294" count="1">
            <x v="5"/>
          </reference>
        </references>
      </pivotArea>
    </format>
    <format dxfId="497">
      <pivotArea dataOnly="0" labelOnly="1" outline="0" fieldPosition="0">
        <references count="1">
          <reference field="4294967294" count="8">
            <x v="0"/>
            <x v="1"/>
            <x v="2"/>
            <x v="3"/>
            <x v="4"/>
            <x v="5"/>
            <x v="7"/>
            <x v="8"/>
          </reference>
        </references>
      </pivotArea>
    </format>
    <format dxfId="496">
      <pivotArea dataOnly="0" labelOnly="1" outline="0" fieldPosition="0">
        <references count="1">
          <reference field="4294967294" count="1">
            <x v="11"/>
          </reference>
        </references>
      </pivotArea>
    </format>
    <format dxfId="495">
      <pivotArea dataOnly="0" labelOnly="1" outline="0" fieldPosition="0">
        <references count="1">
          <reference field="4294967294" count="1">
            <x v="6"/>
          </reference>
        </references>
      </pivotArea>
    </format>
    <format dxfId="494">
      <pivotArea dataOnly="0" labelOnly="1" outline="0" fieldPosition="0">
        <references count="1">
          <reference field="4294967294" count="1">
            <x v="11"/>
          </reference>
        </references>
      </pivotArea>
    </format>
    <format dxfId="493">
      <pivotArea dataOnly="0" labelOnly="1" outline="0" fieldPosition="0">
        <references count="1">
          <reference field="4294967294" count="1">
            <x v="9"/>
          </reference>
        </references>
      </pivotArea>
    </format>
    <format dxfId="492">
      <pivotArea dataOnly="0" labelOnly="1" outline="0" fieldPosition="0">
        <references count="1">
          <reference field="4294967294" count="1">
            <x v="10"/>
          </reference>
        </references>
      </pivotArea>
    </format>
    <format dxfId="491">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67" dataOnRows="1"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1">
  <location ref="B236:C241" firstHeaderRow="1" firstDataRow="1" firstDataCol="1" rowPageCount="2" colPageCount="1"/>
  <pivotFields count="122">
    <pivotField axis="axisPage" subtotalTop="0" multipleItemSelectionAllowed="1" showAll="0">
      <items count="24">
        <item h="1"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49" subtotalTop="0" showAll="0"/>
    <pivotField numFmtId="49"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04" item="0" hier="-1"/>
  </pageFields>
  <dataFields count="5">
    <dataField name=" Total PoP " fld="9" baseField="0" baseItem="0"/>
    <dataField name="Men" fld="41" baseField="0" baseItem="0"/>
    <dataField name="Women" fld="42" baseField="0" baseItem="0"/>
    <dataField name="Boys" fld="43" baseField="0" baseItem="0"/>
    <dataField name="Girls" fld="44" baseField="0" baseItem="0"/>
  </dataFields>
  <formats count="10">
    <format dxfId="77">
      <pivotArea type="all" dataOnly="0" outline="0" fieldPosition="0"/>
    </format>
    <format dxfId="76">
      <pivotArea type="all" dataOnly="0" outline="0" fieldPosition="0"/>
    </format>
    <format dxfId="75">
      <pivotArea outline="0" collapsedLevelsAreSubtotals="1" fieldPosition="0"/>
    </format>
    <format dxfId="74">
      <pivotArea field="4" type="button" dataOnly="0" labelOnly="1" outline="0"/>
    </format>
    <format dxfId="73">
      <pivotArea dataOnly="0" labelOnly="1" grandRow="1" outline="0" fieldPosition="0"/>
    </format>
    <format dxfId="72">
      <pivotArea type="all" dataOnly="0" outline="0" fieldPosition="0"/>
    </format>
    <format dxfId="71">
      <pivotArea outline="0" collapsedLevelsAreSubtotals="1" fieldPosition="0"/>
    </format>
    <format dxfId="70">
      <pivotArea field="4" type="button" dataOnly="0" labelOnly="1" outline="0"/>
    </format>
    <format dxfId="69">
      <pivotArea dataOnly="0" labelOnly="1" grandRow="1" outline="0" fieldPosition="0"/>
    </format>
    <format dxfId="68">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67"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46:R48" firstHeaderRow="0" firstDataRow="1" firstDataCol="1" rowPageCount="3" colPageCount="1"/>
  <pivotFields count="122">
    <pivotField axis="axisPage" subtotalTop="0" multipleItemSelectionAllowed="1" showAll="0">
      <items count="24">
        <item m="1" x="21"/>
        <item m="1" x="7"/>
        <item h="1" m="1" x="14"/>
        <item h="1" m="1" x="1"/>
        <item m="1" x="22"/>
        <item m="1" x="3"/>
        <item h="1" m="1" x="20"/>
        <item h="1" m="1" x="16"/>
        <item h="1" m="1" x="18"/>
        <item m="1" x="19"/>
        <item m="1" x="10"/>
        <item h="1" m="1" x="12"/>
        <item m="1" x="17"/>
        <item h="1" m="1" x="15"/>
        <item m="1" x="5"/>
        <item m="1" x="8"/>
        <item m="1" x="11"/>
        <item m="1" x="13"/>
        <item m="1" x="2"/>
        <item m="1" x="4"/>
        <item m="1" x="6"/>
        <item m="1" x="9"/>
        <item x="0"/>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2">
    <i>
      <x/>
    </i>
    <i i="1">
      <x v="1"/>
    </i>
  </colItems>
  <pageFields count="3">
    <pageField fld="0" hier="-1"/>
    <pageField fld="104" hier="-1"/>
    <pageField fld="6" hier="-1"/>
  </pageFields>
  <dataFields count="2">
    <dataField name="Sum of #_Water samples_Tested_at_HH2" fld="22" baseField="4" baseItem="4"/>
    <dataField name="Average of %_Water samples _passed_at_HH" fld="23" subtotal="average" baseField="4" baseItem="1" numFmtId="9"/>
  </dataFields>
  <formats count="11">
    <format dxfId="88">
      <pivotArea field="4" type="button" dataOnly="0" labelOnly="1" outline="0" axis="axisRow" fieldPosition="0"/>
    </format>
    <format dxfId="87">
      <pivotArea type="all" dataOnly="0" outline="0" fieldPosition="0"/>
    </format>
    <format dxfId="86">
      <pivotArea outline="0" collapsedLevelsAreSubtotals="1" fieldPosition="0"/>
    </format>
    <format dxfId="85">
      <pivotArea field="4" type="button" dataOnly="0" labelOnly="1" outline="0" axis="axisRow" fieldPosition="0"/>
    </format>
    <format dxfId="84">
      <pivotArea dataOnly="0" labelOnly="1" fieldPosition="0">
        <references count="1">
          <reference field="4" count="0"/>
        </references>
      </pivotArea>
    </format>
    <format dxfId="83">
      <pivotArea type="all" dataOnly="0" outline="0" fieldPosition="0"/>
    </format>
    <format dxfId="82">
      <pivotArea type="all" dataOnly="0" outline="0" fieldPosition="0"/>
    </format>
    <format dxfId="81">
      <pivotArea outline="0" collapsedLevelsAreSubtotals="1" fieldPosition="0"/>
    </format>
    <format dxfId="80">
      <pivotArea field="4" type="button" dataOnly="0" labelOnly="1" outline="0" axis="axisRow" fieldPosition="0"/>
    </format>
    <format dxfId="79">
      <pivotArea dataOnly="0" labelOnly="1" fieldPosition="0">
        <references count="1">
          <reference field="4" count="0"/>
        </references>
      </pivotArea>
    </format>
    <format dxfId="78">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67"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B337" firstHeaderRow="0" firstDataRow="0" firstDataCol="0" rowPageCount="2" colPageCount="1"/>
  <pivotFields count="122">
    <pivotField axis="axisPage" subtotalTop="0" multipleItemSelectionAllowed="1" showAll="0">
      <items count="24">
        <item m="1" x="21"/>
        <item m="1" x="7"/>
        <item m="1" x="22"/>
        <item m="1" x="14"/>
        <item m="1" x="3"/>
        <item m="1" x="1"/>
        <item m="1" x="20"/>
        <item m="1" x="16"/>
        <item m="1" x="18"/>
        <item m="1" x="19"/>
        <item m="1" x="10"/>
        <item m="1" x="12"/>
        <item m="1" x="17"/>
        <item m="1" x="15"/>
        <item h="1" m="1" x="5"/>
        <item h="1" m="1" x="8"/>
        <item h="1" m="1" x="11"/>
        <item m="1" x="13"/>
        <item h="1" m="1" x="2"/>
        <item m="1" x="4"/>
        <item h="1" m="1" x="6"/>
        <item h="1" m="1" x="9"/>
        <item h="1" x="0"/>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04" hier="-1"/>
  </pageFields>
  <formats count="17">
    <format dxfId="105">
      <pivotArea type="all" dataOnly="0" outline="0" fieldPosition="0"/>
    </format>
    <format dxfId="104">
      <pivotArea outline="0" collapsedLevelsAreSubtotals="1" fieldPosition="0"/>
    </format>
    <format dxfId="103">
      <pivotArea field="4" type="button" dataOnly="0" labelOnly="1" outline="0"/>
    </format>
    <format dxfId="102">
      <pivotArea dataOnly="0" labelOnly="1" grandRow="1" outline="0" fieldPosition="0"/>
    </format>
    <format dxfId="101">
      <pivotArea type="all" dataOnly="0" outline="0" fieldPosition="0"/>
    </format>
    <format dxfId="100">
      <pivotArea outline="0" collapsedLevelsAreSubtotals="1" fieldPosition="0"/>
    </format>
    <format dxfId="99">
      <pivotArea type="origin" dataOnly="0" labelOnly="1" outline="0" fieldPosition="0"/>
    </format>
    <format dxfId="98">
      <pivotArea field="104" type="button" dataOnly="0" labelOnly="1" outline="0" axis="axisPage" fieldPosition="1"/>
    </format>
    <format dxfId="97">
      <pivotArea type="topRight" dataOnly="0" labelOnly="1" outline="0" fieldPosition="0"/>
    </format>
    <format dxfId="96">
      <pivotArea dataOnly="0" labelOnly="1" fieldPosition="0">
        <references count="1">
          <reference field="104" count="0"/>
        </references>
      </pivotArea>
    </format>
    <format dxfId="95">
      <pivotArea type="all" dataOnly="0" outline="0" fieldPosition="0"/>
    </format>
    <format dxfId="94">
      <pivotArea outline="0" collapsedLevelsAreSubtotals="1" fieldPosition="0"/>
    </format>
    <format dxfId="93">
      <pivotArea field="4" type="button" dataOnly="0" labelOnly="1" outline="0"/>
    </format>
    <format dxfId="92">
      <pivotArea field="4" type="button" dataOnly="0" labelOnly="1" outline="0"/>
    </format>
    <format dxfId="91">
      <pivotArea field="4" type="button" dataOnly="0" labelOnly="1" outline="0"/>
    </format>
    <format dxfId="90">
      <pivotArea field="4" type="button" dataOnly="0" labelOnly="1" outline="0"/>
    </format>
    <format dxfId="89">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67"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16:C119" firstHeaderRow="1" firstDataRow="1" firstDataCol="1" rowPageCount="3" colPageCount="1"/>
  <pivotFields count="122">
    <pivotField axis="axisPage" subtotalTop="0" multipleItemSelectionAllowed="1" showAll="0">
      <items count="24">
        <item m="1" x="21"/>
        <item m="1" x="7"/>
        <item m="1" x="22"/>
        <item h="1" m="1" x="14"/>
        <item m="1" x="3"/>
        <item h="1" m="1" x="1"/>
        <item h="1" m="1" x="20"/>
        <item h="1" m="1" x="16"/>
        <item h="1" m="1" x="18"/>
        <item m="1" x="19"/>
        <item m="1" x="10"/>
        <item h="1" m="1" x="12"/>
        <item m="1" x="17"/>
        <item h="1" m="1" x="15"/>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04" hier="-1"/>
  </pageFields>
  <dataFields count="3">
    <dataField name="Average of %_of_Men_that_feel_safe_to_use_latrines_when_they_need_to_(or_at_day/night)'?" fld="32" subtotal="average" baseField="0" baseItem="1" numFmtId="9"/>
    <dataField name="Average of %_of_Women_that_feel_safe_to_use_latrines_when_they_need_to_(or_at_day/night)?" fld="33" subtotal="average" baseField="0" baseItem="1" numFmtId="9"/>
    <dataField name="Average of %_of_Children_that_feel_safe_to_use_latrines_when_they_need_to_(or_at_day/night)?" fld="34" subtotal="average" baseField="0" baseItem="0"/>
  </dataFields>
  <formats count="13">
    <format dxfId="118">
      <pivotArea field="4" type="button" dataOnly="0" labelOnly="1" outline="0" axis="axisPage" fieldPosition="1"/>
    </format>
    <format dxfId="117">
      <pivotArea type="all" dataOnly="0" outline="0" fieldPosition="0"/>
    </format>
    <format dxfId="116">
      <pivotArea outline="0" collapsedLevelsAreSubtotals="1" fieldPosition="0"/>
    </format>
    <format dxfId="115">
      <pivotArea type="origin" dataOnly="0" labelOnly="1" outline="0" fieldPosition="0"/>
    </format>
    <format dxfId="114">
      <pivotArea type="topRight" dataOnly="0" labelOnly="1" outline="0" fieldPosition="0"/>
    </format>
    <format dxfId="113">
      <pivotArea field="-2" type="button" dataOnly="0" labelOnly="1" outline="0" axis="axisRow" fieldPosition="0"/>
    </format>
    <format dxfId="112">
      <pivotArea type="all" dataOnly="0" outline="0" fieldPosition="0"/>
    </format>
    <format dxfId="111">
      <pivotArea outline="0" collapsedLevelsAreSubtotals="1" fieldPosition="0"/>
    </format>
    <format dxfId="110">
      <pivotArea field="4" type="button" dataOnly="0" labelOnly="1" outline="0" axis="axisPage" fieldPosition="1"/>
    </format>
    <format dxfId="109">
      <pivotArea dataOnly="0" labelOnly="1" outline="0" fieldPosition="0">
        <references count="1">
          <reference field="4" count="1">
            <x v="1"/>
          </reference>
        </references>
      </pivotArea>
    </format>
    <format dxfId="108">
      <pivotArea outline="0" collapsedLevelsAreSubtotals="1" fieldPosition="0">
        <references count="1">
          <reference field="4294967294" count="1" selected="0">
            <x v="1"/>
          </reference>
        </references>
      </pivotArea>
    </format>
    <format dxfId="107">
      <pivotArea outline="0" collapsedLevelsAreSubtotals="1" fieldPosition="0">
        <references count="1">
          <reference field="4294967294" count="1" selected="0">
            <x v="0"/>
          </reference>
        </references>
      </pivotArea>
    </format>
    <format dxfId="106">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1" s="1"/>
        <i x="3" s="1"/>
        <i x="2" s="1"/>
        <i x="0"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1" s="1"/>
        <i x="3" s="1"/>
        <i x="2" s="1"/>
        <i x="0"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13" s="1" nd="1"/>
        <i x="16" s="1" nd="1"/>
        <i x="36" s="1" nd="1"/>
        <i x="19" s="1" nd="1"/>
        <i x="30" s="1" nd="1"/>
        <i x="25" s="1" nd="1"/>
        <i x="29" s="1" nd="1"/>
        <i x="22" s="1" nd="1"/>
        <i x="6" s="1" nd="1"/>
        <i x="1" s="1" nd="1"/>
        <i x="7" s="1" nd="1"/>
        <i x="12" s="1" nd="1"/>
        <i x="33" s="1" nd="1"/>
        <i x="9" s="1" nd="1"/>
        <i x="15" s="1" nd="1"/>
        <i x="26" s="1" nd="1"/>
        <i x="11" s="1" nd="1"/>
        <i x="20" s="1" nd="1"/>
        <i x="31" s="1" nd="1"/>
        <i x="5" s="1" nd="1"/>
        <i x="23" s="1" nd="1"/>
        <i x="35" s="1" nd="1"/>
        <i x="14" s="1" nd="1"/>
        <i x="3" s="1" nd="1"/>
        <i x="24" s="1" nd="1"/>
        <i x="17" s="1" nd="1"/>
        <i x="21" s="1" nd="1"/>
        <i x="27" s="1" nd="1"/>
        <i x="8" s="1" nd="1"/>
        <i x="10" s="1" nd="1"/>
        <i x="2" s="1" nd="1"/>
        <i x="28" s="1" nd="1"/>
        <i x="18" s="1" nd="1"/>
        <i x="38" s="1" nd="1"/>
        <i x="32" s="1" nd="1"/>
        <i x="39" s="1" nd="1"/>
        <i x="0"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3">
        <i x="0" s="1"/>
        <i x="20" s="1" nd="1"/>
        <i x="21" s="1" nd="1"/>
        <i x="7" s="1" nd="1"/>
        <i x="22" s="1" nd="1"/>
        <i x="14" s="1" nd="1"/>
        <i x="16" s="1" nd="1"/>
        <i x="18" s="1" nd="1"/>
        <i x="19" s="1" nd="1"/>
        <i x="3" s="1" nd="1"/>
        <i x="10" s="1" nd="1"/>
        <i x="12" s="1" nd="1"/>
        <i x="15" s="1" nd="1"/>
        <i x="17" s="1" nd="1"/>
        <i x="5" s="1" nd="1"/>
        <i x="8" s="1" nd="1"/>
        <i x="11" s="1" nd="1"/>
        <i x="13" s="1" nd="1"/>
        <i x="2" s="1" nd="1"/>
        <i x="4" s="1" nd="1"/>
        <i x="6" s="1" nd="1"/>
        <i x="9" s="1" nd="1"/>
        <i x="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1" s="1"/>
        <i x="3" s="1"/>
        <i x="2" s="1"/>
        <i x="0"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3" s="1"/>
        <i x="1" s="1"/>
        <i x="0" s="1"/>
        <i x="5" s="1"/>
        <i x="2" s="1"/>
        <i x="4"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7">
        <i x="3" s="1"/>
        <i x="1" s="1"/>
        <i x="0" s="1"/>
        <i x="5" s="1"/>
        <i x="2" s="1"/>
        <i x="4"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7">
        <i x="23" s="1" nd="1"/>
        <i x="39" s="1" nd="1"/>
        <i x="40" s="1" nd="1"/>
        <i x="3"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1" s="1" nd="1"/>
        <i x="42" s="1" nd="1"/>
        <i x="41" s="1" nd="1"/>
        <i x="0" s="1" nd="1"/>
        <i x="29" s="1" nd="1"/>
        <i x="8" s="1" nd="1"/>
        <i x="5" s="1" nd="1"/>
        <i x="2" s="1" nd="1"/>
        <i x="44" s="1" nd="1"/>
        <i x="28" s="1" nd="1"/>
        <i x="11" s="1" nd="1"/>
        <i x="4"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J27" totalsRowShown="0" headerRowDxfId="857" dataDxfId="855" headerRowBorderDxfId="856" tableBorderDxfId="854">
  <autoFilter ref="A6:DJ27" xr:uid="{F4ACE1B1-255F-4263-815D-EC35A2819B05}"/>
  <sortState xmlns:xlrd2="http://schemas.microsoft.com/office/spreadsheetml/2017/richdata2" ref="A10:DJ27">
    <sortCondition ref="H27"/>
  </sortState>
  <tableColumns count="114">
    <tableColumn id="1" xr3:uid="{00000000-0010-0000-0000-000001000000}" name="Reporting Period" dataDxfId="853" totalsRowDxfId="852"/>
    <tableColumn id="75" xr3:uid="{00000000-0010-0000-0000-00004B000000}" name="WASH project agency" dataDxfId="851" totalsRowDxfId="850"/>
    <tableColumn id="2" xr3:uid="{00000000-0010-0000-0000-000002000000}" name="WASH implementing agency" dataDxfId="849" totalsRowDxfId="848"/>
    <tableColumn id="8" xr3:uid="{00000000-0010-0000-0000-000008000000}" name="Primary Donor covering WASH activities at site " dataDxfId="847" totalsRowDxfId="846"/>
    <tableColumn id="3" xr3:uid="{00000000-0010-0000-0000-000003000000}" name="State" dataDxfId="845" totalsRowDxfId="844"/>
    <tableColumn id="4" xr3:uid="{00000000-0010-0000-0000-000004000000}" name="Township" dataDxfId="843" totalsRowDxfId="842"/>
    <tableColumn id="82" xr3:uid="{00000000-0010-0000-0000-000052000000}" name="Location Type" dataDxfId="841" totalsRowDxfId="840" dataCellStyle="Percent"/>
    <tableColumn id="5" xr3:uid="{00000000-0010-0000-0000-000005000000}" name="Site Name" dataDxfId="839"/>
    <tableColumn id="6" xr3:uid="{00000000-0010-0000-0000-000006000000}" name="Total HH" dataDxfId="838" totalsRowDxfId="837" dataCellStyle="Comma"/>
    <tableColumn id="7" xr3:uid="{00000000-0010-0000-0000-000007000000}" name="Total PoP " dataDxfId="836" totalsRowDxfId="835" dataCellStyle="Comma"/>
    <tableColumn id="92" xr3:uid="{19E9142A-082A-4AC7-9DF4-1557FD7B55D0}" name="Pop_per_HH" dataDxfId="834" totalsRowDxfId="833" dataCellStyle="Comma">
      <calculatedColumnFormula>WWWW[[#This Row],[Total PoP ]]/WWWW[[#This Row],[Total HH]]</calculatedColumnFormula>
    </tableColumn>
    <tableColumn id="77" xr3:uid="{00000000-0010-0000-0000-00004D000000}" name="Project start date" dataDxfId="832" totalsRowDxfId="831"/>
    <tableColumn id="9" xr3:uid="{00000000-0010-0000-0000-000009000000}" name="Project end date" dataDxfId="830" totalsRowDxfId="829"/>
    <tableColumn id="104" xr3:uid="{00000000-0010-0000-0000-000068000000}" name="#_students at TLS_CFS" dataDxfId="828" totalsRowDxfId="827" dataCellStyle="Comma"/>
    <tableColumn id="14" xr3:uid="{00000000-0010-0000-0000-00000E000000}" name="#_Functional_improved_water_source_Handpump" dataDxfId="826" totalsRowDxfId="825" dataCellStyle="Comma"/>
    <tableColumn id="102" xr3:uid="{00000000-0010-0000-0000-000066000000}" name="#_Existing_improved_water_source_Handpump" dataDxfId="824" totalsRowDxfId="823" dataCellStyle="Comma"/>
    <tableColumn id="51" xr3:uid="{0F9366F3-C720-4150-A994-3531C24FF755}" name="#_Functional_improved_water_source_tapstand_handdugwell" dataDxfId="822" totalsRowDxfId="821" dataCellStyle="Comma"/>
    <tableColumn id="50" xr3:uid="{1AC55A88-8A64-4F61-A4EC-4BC5E511D470}" name="#_Existing_improved_water_source_tapstand_handdugwell" dataDxfId="820" totalsRowDxfId="819" dataCellStyle="Comma"/>
    <tableColumn id="103" xr3:uid="{00000000-0010-0000-0000-000067000000}" name="#_litres_of_water_supplied_by_existing_water_boating_trucking " dataDxfId="818" totalsRowDxfId="817" dataCellStyle="Comma"/>
    <tableColumn id="15" xr3:uid="{00000000-0010-0000-0000-00000F000000}" name="#_PPL_received safe_drinking_water_HH_filters_centralized water system" dataDxfId="816" totalsRowDxfId="815" dataCellStyle="Comma"/>
    <tableColumn id="106" xr3:uid="{00000000-0010-0000-0000-00006A000000}" name="#_Water samples_Tested_at_water_source" dataDxfId="814" totalsRowDxfId="813" dataCellStyle="Comma"/>
    <tableColumn id="107" xr3:uid="{00000000-0010-0000-0000-00006B000000}" name="%_Water samples _passed_at_water source" dataDxfId="812" totalsRowDxfId="811" dataCellStyle="Percent"/>
    <tableColumn id="108" xr3:uid="{00000000-0010-0000-0000-00006C000000}" name="#_Water samples_Tested_at_HH" dataDxfId="810" totalsRowDxfId="809" dataCellStyle="Comma"/>
    <tableColumn id="109" xr3:uid="{00000000-0010-0000-0000-00006D000000}" name="%_Water samples _passed_at_HH" dataDxfId="808" totalsRowDxfId="807" dataCellStyle="Percent"/>
    <tableColumn id="110" xr3:uid="{00000000-0010-0000-0000-00006E000000}" name="#_HH_receiving_HH_water_storage items" dataDxfId="806" totalsRowDxfId="805" dataCellStyle="Comma"/>
    <tableColumn id="83" xr3:uid="{A324C8A9-A015-4E27-BA21-B0049D95FB28}" name="#_PPL_accessed_water_in_TLS" dataDxfId="804" totalsRowDxfId="803" dataCellStyle="Comma"/>
    <tableColumn id="74" xr3:uid="{73C9B2A0-8DF2-4D09-B5C6-F881F1B1DF94}" name="#_PPL_accessed_water_in_THF" dataDxfId="802" totalsRowDxfId="801" dataCellStyle="Comma"/>
    <tableColumn id="113" xr3:uid="{00000000-0010-0000-0000-000071000000}" name="WATER Comment" dataDxfId="800" totalsRowDxfId="799" dataCellStyle="Comma"/>
    <tableColumn id="87" xr3:uid="{00000000-0010-0000-0000-000057000000}" name="#_Functional_adult_latrines" dataDxfId="798" totalsRowDxfId="797" dataCellStyle="Comma"/>
    <tableColumn id="65" xr3:uid="{00000000-0010-0000-0000-000041000000}" name="#_Existing_latrines" dataDxfId="796" totalsRowDxfId="795" dataCellStyle="Comma"/>
    <tableColumn id="39" xr3:uid="{00000000-0010-0000-0000-000027000000}" name="#_latrines_repaired" dataDxfId="794" totalsRowDxfId="793" dataCellStyle="Comma"/>
    <tableColumn id="24" xr3:uid="{00000000-0010-0000-0000-000018000000}" name="#_of_latrines_desludged " dataDxfId="792" totalsRowDxfId="791" dataCellStyle="Comma"/>
    <tableColumn id="25" xr3:uid="{00000000-0010-0000-0000-000019000000}" name="%_of_Men_that_feel_safe_to_use_latrines_when_they_need_to_(or_at_day/night)'?" dataDxfId="790" totalsRowDxfId="789" dataCellStyle="Percent"/>
    <tableColumn id="122" xr3:uid="{00000000-0010-0000-0000-00007A000000}" name="%_of_Women_that_feel_safe_to_use_latrines_when_they_need_to_(or_at_day/night)?" dataDxfId="788" totalsRowDxfId="787" dataCellStyle="Percent"/>
    <tableColumn id="123" xr3:uid="{00000000-0010-0000-0000-00007B000000}" name="%_of_Children_that_feel_safe_to_use_latrines_when_they_need_to_(or_at_day/night)?" dataDxfId="786" totalsRowDxfId="785" dataCellStyle="Percent"/>
    <tableColumn id="105" xr3:uid="{00000000-0010-0000-0000-000069000000}" name="#_of_functional_children_latrines" dataDxfId="784" totalsRowDxfId="783" dataCellStyle="Comma"/>
    <tableColumn id="100" xr3:uid="{00000000-0010-0000-0000-000064000000}" name="#_of_PWD_with_adapted_sanitation_option" dataDxfId="782" totalsRowDxfId="781" dataCellStyle="Comma"/>
    <tableColumn id="26" xr3:uid="{00000000-0010-0000-0000-00001A000000}" name="#_of_latrines_in_TLS/CFS" dataDxfId="780" totalsRowDxfId="779" dataCellStyle="Comma"/>
    <tableColumn id="52" xr3:uid="{57FB2B4D-DC76-46CE-B66A-9B2EF21E496B}" name="#_of_latrines_in_THF" dataDxfId="778" totalsRowDxfId="777" dataCellStyle="Comma"/>
    <tableColumn id="125" xr3:uid="{00000000-0010-0000-0000-00007D000000}" name="Is_there_an_effective_solid_waste_management_system_in_place?" dataDxfId="776" totalsRowDxfId="775" dataCellStyle="Comma"/>
    <tableColumn id="11" xr3:uid="{00000000-0010-0000-0000-00000B000000}" name="SANITATION Comments " dataDxfId="774" totalsRowDxfId="773"/>
    <tableColumn id="126" xr3:uid="{00000000-0010-0000-0000-00007E000000}" name="_#_of_Men_receiving_consultation_hygiene_promotion_messages_and_sessions" dataDxfId="772" totalsRowDxfId="771" dataCellStyle="Comma"/>
    <tableColumn id="127" xr3:uid="{00000000-0010-0000-0000-00007F000000}" name="_#_of_Women_receiving_consultation_hygiene_promotion_messages_and_sessions" dataDxfId="770" totalsRowDxfId="769" dataCellStyle="Comma"/>
    <tableColumn id="13" xr3:uid="{00000000-0010-0000-0000-00000D000000}" name="_#_of_Boys_receiving_consultation_hygiene_promotion_messages_and_sessions" dataDxfId="768" totalsRowDxfId="767" dataCellStyle="Comma"/>
    <tableColumn id="128" xr3:uid="{00000000-0010-0000-0000-000080000000}" name="_#_of_Girls_receiving_consultation_hygiene_promotion_messages_and_sessions" dataDxfId="766" totalsRowDxfId="765" dataCellStyle="Comma"/>
    <tableColumn id="129" xr3:uid="{00000000-0010-0000-0000-000081000000}" name="#_of_affected_households_receiving_a_sufficient_quantity_of_soap" dataDxfId="764" totalsRowDxfId="763" dataCellStyle="Comma"/>
    <tableColumn id="130" xr3:uid="{00000000-0010-0000-0000-000082000000}" name="#_of_affected_women_and_girls_receiving_a_sufficient_quantity_of_sanitary_pads" dataDxfId="762" totalsRowDxfId="761" dataCellStyle="Comma"/>
    <tableColumn id="133" xr3:uid="{00000000-0010-0000-0000-000085000000}" name="%_of_women_and_girls_who_report_that_they_have_an_adequate_system_for_disposing_of_used_sanitary_pads" dataDxfId="760" totalsRowDxfId="759" dataCellStyle="Percent"/>
    <tableColumn id="131" xr3:uid="{00000000-0010-0000-0000-000083000000}" name="%_of_affected_people_who_report_handwashing_at_key_times" dataDxfId="758" totalsRowDxfId="757" dataCellStyle="Percent"/>
    <tableColumn id="28" xr3:uid="{E1A787CA-836C-4110-BDEF-DA4080E56575}" name="#_of_functional_HWS_in TLS/CFS" dataDxfId="756" totalsRowDxfId="755" dataCellStyle="Percent"/>
    <tableColumn id="134" xr3:uid="{00000000-0010-0000-0000-000086000000}" name="HYGIENE_Comments  _x000a_" dataDxfId="754" totalsRowDxfId="753"/>
    <tableColumn id="69" xr3:uid="{F08B8CAC-90B8-4AD5-ABFF-685A1F23A8C8}" name="%_of_affected_people_surveyed_who_report_feeling_satistfied_with_the_latrine_design_and_sanitation_service" dataDxfId="752" totalsRowDxfId="751" dataCellStyle="Percent"/>
    <tableColumn id="79" xr3:uid="{FC6D5E73-EE3C-4FE8-9811-A426C1B99932}" name="%_of_affected_people_surveyed_who_report_feeling_satistfied_with_the_water_point_design_and_water_service" dataDxfId="750" totalsRowDxfId="749" dataCellStyle="Percent"/>
    <tableColumn id="84" xr3:uid="{2428FCB9-2969-44B8-9F3C-E8FAE2B432E2}" name="%_of_affected_people_surveyed_who_report_feeling_informed_about_the_different_WASH_services_available_to_them" dataDxfId="748" totalsRowDxfId="747" dataCellStyle="Percent"/>
    <tableColumn id="17" xr3:uid="{15698A41-EB30-45BA-98B7-AE2A662D14C4}" name="%_of_complaints_received_that_result_in_timely_corrective_action_and_feedback_to_the_community" dataDxfId="746" totalsRowDxfId="745" dataCellStyle="Percent"/>
    <tableColumn id="32" xr3:uid="{6748107D-F9F0-4D7D-81DB-7754B604F3FB}" name="Diarrhoea_rate_per_10,000_ppl,_average_over_past_3_months_(extracted_from_EpiWeek_data_from_health)" dataDxfId="744" totalsRowDxfId="743" dataCellStyle="Percent"/>
    <tableColumn id="56" xr3:uid="{97A1F5AB-0BC0-4278-8DF7-2C5327F2B913}" name="#_of_sanitation_facilities_(latrines)_built/repaired/rehabilitated_following_risk-sensitive_programming_and_consultation_with_communities_and/or_GBV_risk-sensitive_programming" dataDxfId="742" totalsRowDxfId="741" dataCellStyle="Comma"/>
    <tableColumn id="57" xr3:uid="{8F4EF626-5B99-4F63-970C-0E4FC7147A5A}" name="#_of_sanitation_facilities_(HH_sanitation_devices)_distributed_following_risk-sensitive_programming_and_consultation_with_communities_and/or_GBV_risk-sensitive_programming" dataDxfId="740" totalsRowDxfId="739" dataCellStyle="Comma"/>
    <tableColumn id="66" xr3:uid="{776143A0-A23B-4F5C-A7AB-41A87F154081}" name="# of sanitation facilities (bathing spaces) built following risk-sensitive programming and consultation with communities" dataDxfId="738" totalsRowDxfId="737" dataCellStyle="Comma"/>
    <tableColumn id="10" xr3:uid="{19F9CE3F-94D4-4412-96A8-6138BFB912A0}" name="amount_of_MMK/Voucher_or_Token_distributed_per_HH/Family" dataDxfId="736" totalsRowDxfId="735" dataCellStyle="Comma"/>
    <tableColumn id="16" xr3:uid="{A04C1B66-CD5B-4AAC-B109-BF4D70FFF594}" name="#_of_Family/HH_Reached" dataDxfId="734" totalsRowDxfId="733" dataCellStyle="Comma"/>
    <tableColumn id="20" xr3:uid="{534AC390-E577-43F3-B9EF-C9C49C27D317}" name="Date_of_Cash_distribution" dataDxfId="732" totalsRowDxfId="731" dataCellStyle="Comma"/>
    <tableColumn id="23" xr3:uid="{8CAF07C7-C62F-455E-91D4-9A0BE10B485C}" name="Cash_distributed_for_which_items" dataDxfId="730" totalsRowDxfId="729" dataCellStyle="Comma"/>
    <tableColumn id="97" xr3:uid="{00000000-0010-0000-0000-000061000000}" name="Water_testing_at source" dataDxfId="728">
      <calculatedColumnFormula>IF(WWWW[[#This Row],['#_Water samples_Tested_at_water_source]]="","no test","Tested")</calculatedColumnFormula>
    </tableColumn>
    <tableColumn id="98" xr3:uid="{00000000-0010-0000-0000-000062000000}" name="Water_testing_at HH" dataDxfId="727" totalsRowDxfId="726" dataCellStyle="Percent">
      <calculatedColumnFormula>IF(WWWW[[#This Row],['#_Water samples_Tested_at_HH]]="","no test","Tested")</calculatedColumnFormula>
    </tableColumn>
    <tableColumn id="19" xr3:uid="{00000000-0010-0000-0000-000013000000}" name="Warter quality test done" dataDxfId="725" totalsRowDxfId="724" dataCellStyle="Percent">
      <calculatedColumnFormula>IF(AND(WWWW[[#This Row],[Water_testing_at source]]="no test",WWWW[[#This Row],[Water_testing_at HH]]="no test"),"No Test","Tested")</calculatedColumnFormula>
    </tableColumn>
    <tableColumn id="34" xr3:uid="{00000000-0010-0000-0000-000022000000}" name="% HRP1" dataDxfId="723" dataCellStyle="Percent">
      <calculatedColumnFormula>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calculatedColumnFormula>
    </tableColumn>
    <tableColumn id="89" xr3:uid="{00000000-0010-0000-0000-000059000000}" name="HRP1" dataDxfId="722" totalsRowDxfId="721">
      <calculatedColumnFormula>WWWW[[#This Row],[% HRP1]]*WWWW[[#This Row],[Total PoP ]]</calculatedColumnFormula>
    </tableColumn>
    <tableColumn id="86" xr3:uid="{00000000-0010-0000-0000-000056000000}" name="#Water points coverage" dataDxfId="720" totalsRowDxfId="719">
      <calculatedColumnFormula>WWWW[[#This Row],[HRP1]]/500</calculatedColumnFormula>
    </tableColumn>
    <tableColumn id="85" xr3:uid="{00000000-0010-0000-0000-000055000000}" name="%equitable and continuous access to sufficient quantity of safe drinking and domestic water's GAP" dataDxfId="718" totalsRowDxfId="717">
      <calculatedColumnFormula>1-WWWW[[#This Row],[% HRP1]]</calculatedColumnFormula>
    </tableColumn>
    <tableColumn id="43" xr3:uid="{00000000-0010-0000-0000-00002B000000}" name="# people needs equitable and continuous access to sufficient quantity of safe drinking and domestic water GAP" dataDxfId="716" totalsRowDxfId="715">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14" totalsRowDxfId="713" dataCellStyle="Percent">
      <calculatedColumnFormula>ROUND(IF(WWWW[[#This Row],[Total PoP ]]&lt;500,1,WWWW[[#This Row],[Total PoP ]]/500),0)</calculatedColumnFormula>
    </tableColumn>
    <tableColumn id="44" xr3:uid="{00000000-0010-0000-0000-00002C000000}" name="#Potential required new water points" dataDxfId="712" totalsRowDxfId="711"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10" totalsRowDxfId="709" dataCellStyle="Percent">
      <calculatedColumnFormula>WWWW[[#This Row],[HRP2]]/WWWW[[#This Row],[Total PoP ]]</calculatedColumnFormula>
    </tableColumn>
    <tableColumn id="18" xr3:uid="{00000000-0010-0000-0000-000012000000}" name="HRP2" dataDxfId="708" totalsRowDxfId="707">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06" totalsRowDxfId="705">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04" totalsRowDxfId="703" dataCellStyle="Percent">
      <calculatedColumnFormula>WWWW[[#This Row],['#_of_latrines_in_TLS/CFS]]*50</calculatedColumnFormula>
    </tableColumn>
    <tableColumn id="67" xr3:uid="{281E2138-F178-4765-8CBE-290B98C64EFE}" name="# people access to functioning latrines in THF_HRP6" dataDxfId="702" totalsRowDxfId="701" dataCellStyle="Percent">
      <calculatedColumnFormula>IF(WWWW[[#This Row],['#_of_latrines_in_THF]]="",0,WWWW[[#This Row],['#_of_latrines_in_THF]]*50)</calculatedColumnFormula>
    </tableColumn>
    <tableColumn id="73" xr3:uid="{00000000-0010-0000-0000-000049000000}" name="Total required Latrines" dataDxfId="700" totalsRowDxfId="699" dataCellStyle="Percent">
      <calculatedColumnFormula>ROUND(IF(WWWW[[#This Row],[Location Type 1]]="camp",WWWW[[#This Row],[Total PoP ]]/20),0)</calculatedColumnFormula>
    </tableColumn>
    <tableColumn id="49" xr3:uid="{00000000-0010-0000-0000-000031000000}" name="# potential required new latrines" dataDxfId="698" totalsRowDxfId="697"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96" totalsRowDxfId="695">
      <calculatedColumnFormula>1-WWWW[[#This Row],[% HRP2]]</calculatedColumnFormula>
    </tableColumn>
    <tableColumn id="76" xr3:uid="{00000000-0010-0000-0000-00004C000000}" name="% Latrines requiring  repairs" dataDxfId="694" totalsRowDxfId="693"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92" totalsRowDxfId="691">
      <calculatedColumnFormula>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690" totalsRowDxfId="689"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88" totalsRowDxfId="687"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86" totalsRowDxfId="685"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84" totalsRowDxfId="683"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82" totalsRowDxfId="681">
      <calculatedColumnFormula>IF(WWWW[[#This Row],[HRP3]]/WWWW[[#This Row],[Total PoP ]]&gt;100%,100%,WWWW[[#This Row],[HRP3]]/WWWW[[#This Row],[Total PoP ]])</calculatedColumnFormula>
    </tableColumn>
    <tableColumn id="72" xr3:uid="{00000000-0010-0000-0000-000048000000}" name="Hygiene Gap%" dataDxfId="680" totalsRowDxfId="679" dataCellStyle="Percent">
      <calculatedColumnFormula>1-WWWW[[#This Row],[Hygiene Coverage%]]</calculatedColumnFormula>
    </tableColumn>
    <tableColumn id="96" xr3:uid="{00000000-0010-0000-0000-000060000000}" name="%people reached by regular dedicated hygiene promotion" dataDxfId="678" totalsRowDxfId="677" dataCellStyle="Percent">
      <calculatedColumnFormula>WWWW[[#This Row],['# people reached by regular dedicated hygiene promotion_5]]/WWWW[[#This Row],[Total PoP ]]</calculatedColumnFormula>
    </tableColumn>
    <tableColumn id="55" xr3:uid="{00000000-0010-0000-0000-000037000000}" name="%HH with access to soap" dataDxfId="676" totalsRowDxfId="675"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674" totalsRowDxfId="673">
      <calculatedColumnFormula>IF(WWWW[[#This Row],['#_students at TLS_CFS]]="","No","Yes")</calculatedColumnFormula>
    </tableColumn>
    <tableColumn id="38" xr3:uid="{794A858C-E6A5-49E1-8410-D4883797176F}" name="%_of_affected_people_surveyed_who_report_feeling_informed_about_the_different_WASH_services_available_to_them2" dataDxfId="672" totalsRowDxfId="671" dataCellStyle="Percent">
      <calculatedColumnFormula>WWWW[[#This Row],[%_of_affected_people_surveyed_who_report_feeling_informed_about_the_different_WASH_services_available_to_them]]</calculatedColumnFormula>
    </tableColumn>
    <tableColumn id="71" xr3:uid="{842D370B-98F2-4E9C-B7C9-EDBEC58AD26C}" name="HRP4" dataDxfId="670" totalsRowDxfId="669"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668" totalsRowDxfId="667"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666" totalsRowDxfId="665"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58" xr3:uid="{00000000-0010-0000-0000-00003A000000}" name="CCCM Management" dataDxfId="664" totalsRowDxfId="663" dataCellStyle="Percent">
      <calculatedColumnFormula>VLOOKUP(WWWW[[#This Row],[Site Name]],SiteDB6[[Site Name]:[CCCM Management]],6,FALSE)</calculatedColumnFormula>
    </tableColumn>
    <tableColumn id="81" xr3:uid="{00000000-0010-0000-0000-000051000000}" name="CCCM Focal Agency" dataDxfId="662" totalsRowDxfId="661" dataCellStyle="Percent">
      <calculatedColumnFormula>VLOOKUP(WWWW[[#This Row],[Site Name]],SiteDB6[[Site Name]:[CCCM Focal Agency]],7,FALSE)</calculatedColumnFormula>
    </tableColumn>
    <tableColumn id="80" xr3:uid="{00000000-0010-0000-0000-000050000000}" name="Location Type 1" dataDxfId="660" totalsRowDxfId="659" dataCellStyle="Percent">
      <calculatedColumnFormula>VLOOKUP(WWWW[[#This Row],[Site Name]],SiteDB6[[Site Name]:[Location Type 1]],9,FALSE)</calculatedColumnFormula>
    </tableColumn>
    <tableColumn id="45" xr3:uid="{00000000-0010-0000-0000-00002D000000}" name="Type of accommodation" dataDxfId="658" totalsRowDxfId="657" dataCellStyle="Percent">
      <calculatedColumnFormula>VLOOKUP(WWWW[[#This Row],[Site Name]],SiteDB6[[Site Name]:[Type of Accommodation]],10,FALSE)</calculatedColumnFormula>
    </tableColumn>
    <tableColumn id="46" xr3:uid="{00000000-0010-0000-0000-00002E000000}" name="Ethnic or GCA/NGCA" dataDxfId="656" totalsRowDxfId="655" dataCellStyle="Percent">
      <calculatedColumnFormula>VLOOKUP(WWWW[[#This Row],[Site Name]],SiteDB6[[Site Name]:[Ethnic or GCA/NGCA]],11,FALSE)</calculatedColumnFormula>
    </tableColumn>
    <tableColumn id="60" xr3:uid="{00000000-0010-0000-0000-00003C000000}" name="Lat" dataDxfId="654" totalsRowDxfId="653" dataCellStyle="Percent">
      <calculatedColumnFormula>VLOOKUP(WWWW[[#This Row],[Site Name]],SiteDB6[[Site Name]:[Lat]],12,FALSE)</calculatedColumnFormula>
    </tableColumn>
    <tableColumn id="61" xr3:uid="{00000000-0010-0000-0000-00003D000000}" name="Long" dataDxfId="652" totalsRowDxfId="651" dataCellStyle="Percent">
      <calculatedColumnFormula>VLOOKUP(WWWW[[#This Row],[Site Name]],SiteDB6[[Site Name]:[Long]],13,FALSE)</calculatedColumnFormula>
    </tableColumn>
    <tableColumn id="62" xr3:uid="{00000000-0010-0000-0000-00003E000000}" name="Pcode" dataDxfId="650" totalsRowDxfId="649" dataCellStyle="Percent">
      <calculatedColumnFormula>VLOOKUP(WWWW[[#This Row],[Site Name]],SiteDB6[[Site Name]:[Pcode]],3,FALSE)</calculatedColumnFormula>
    </tableColumn>
    <tableColumn id="63" xr3:uid="{00000000-0010-0000-0000-00003F000000}" name="Covered" dataDxfId="648" totalsRowDxfId="647">
      <calculatedColumnFormula>IF(C7="none","Notcovered","Covered")</calculatedColumnFormula>
    </tableColumn>
    <tableColumn id="22" xr3:uid="{826CE2B6-5FC4-4AEB-8DBB-6684ACBBF4AF}" name="# of Male_People with disabilities" dataDxfId="646" totalsRowDxfId="645"/>
    <tableColumn id="29" xr3:uid="{2F55C443-7C7C-4E42-8C0C-D0E64838ADAE}" name="# of Female_People with disabilities" dataDxfId="644" totalsRowDxfId="643"/>
    <tableColumn id="30" xr3:uid="{0DE26D30-0937-450A-9585-92FC5884D6D1}" name="# of Total_People with disabilities" dataDxfId="642" totalsRowDxfId="641">
      <calculatedColumnFormula>WWWW[[#This Row],['# of Male_People with disabilities]]+WWWW[[#This Row],['# of Female_People with disabilities]]</calculatedColumnFormula>
    </tableColumn>
    <tableColumn id="64" xr3:uid="{00000000-0010-0000-0000-000040000000}" name="Remark" dataDxfId="640" totalsRowDxfId="639"/>
    <tableColumn id="33" xr3:uid="{02022A16-5972-46BA-BBEF-68F193981FB1}" name="Total consultations" dataDxfId="638" totalsRowDxfId="637"/>
    <tableColumn id="35" xr3:uid="{CABA44DE-E161-49DA-95B2-6891B6FACF4B}" name="Cases of Acute watery diarrhea" dataDxfId="636" totalsRowDxfId="635"/>
    <tableColumn id="36" xr3:uid="{2FAA2AA3-3F27-4441-95E9-C7B30805F79D}" name="Deaths of Acute watery diarrhea" dataDxfId="634" totalsRowDxfId="633"/>
    <tableColumn id="93" xr3:uid="{71442401-24FB-48CA-817A-EB31B142910C}" name="HH" dataDxfId="632" totalsRowDxfId="631">
      <calculatedColumnFormula>VLOOKUP(WWWW[[#This Row],[Site Name]],SiteDB6[[Site Name]:[Pop
(CCCM as of Autust 2021)]],16,FALSE)</calculatedColumnFormula>
    </tableColumn>
    <tableColumn id="94" xr3:uid="{FBB21E2F-61FB-48C2-BD10-5BDB01E8B6DC}" name="Pop" dataDxfId="630" totalsRowDxfId="629">
      <calculatedColumnFormula>VLOOKUP(WWWW[[#This Row],[Site Name]],SiteDB6[[Site Name]:[Pop
(CCCM as of Autust 2021)]],17,FALSE)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22" dataDxfId="621">
  <autoFilter ref="A2:Z1111" xr:uid="{4F1541E4-DEDA-4A05-BD35-F06B0B55EE7C}"/>
  <sortState xmlns:xlrd2="http://schemas.microsoft.com/office/spreadsheetml/2017/richdata2" ref="A3:W1109">
    <sortCondition ref="A3:A1109"/>
    <sortCondition ref="B3:B1109"/>
    <sortCondition ref="C3:C1109"/>
  </sortState>
  <tableColumns count="26">
    <tableColumn id="13" xr3:uid="{00000000-0010-0000-0100-00000D000000}" name="State" dataDxfId="620"/>
    <tableColumn id="12" xr3:uid="{00000000-0010-0000-0100-00000C000000}" name="Township" dataDxfId="619"/>
    <tableColumn id="1" xr3:uid="{00000000-0010-0000-0100-000001000000}" name="Site Name" dataDxfId="618"/>
    <tableColumn id="26" xr3:uid="{00000000-0010-0000-0100-00001A000000}" name="open in cccm?" dataDxfId="617"/>
    <tableColumn id="2" xr3:uid="{00000000-0010-0000-0100-000002000000}" name="Pcode" dataDxfId="616"/>
    <tableColumn id="20" xr3:uid="{00000000-0010-0000-0100-000014000000}" name="Vtract" dataDxfId="615"/>
    <tableColumn id="21" xr3:uid="{00000000-0010-0000-0100-000015000000}" name="VillageWard" dataDxfId="614"/>
    <tableColumn id="3" xr3:uid="{00000000-0010-0000-0100-000003000000}" name="CCCM Management" dataDxfId="613"/>
    <tableColumn id="4" xr3:uid="{00000000-0010-0000-0100-000004000000}" name="CCCM Focal Agency" dataDxfId="612"/>
    <tableColumn id="5" xr3:uid="{00000000-0010-0000-0100-000005000000}" name="Location Type" dataDxfId="611"/>
    <tableColumn id="6" xr3:uid="{00000000-0010-0000-0100-000006000000}" name="Location Type 1" dataDxfId="610"/>
    <tableColumn id="7" xr3:uid="{00000000-0010-0000-0100-000007000000}" name="Type of Accommodation" dataDxfId="609"/>
    <tableColumn id="8" xr3:uid="{00000000-0010-0000-0100-000008000000}" name="Ethnic or GCA/NGCA" dataDxfId="608"/>
    <tableColumn id="10" xr3:uid="{00000000-0010-0000-0100-00000A000000}" name="Lat" dataDxfId="607"/>
    <tableColumn id="9" xr3:uid="{00000000-0010-0000-0100-000009000000}" name="Long" dataDxfId="606"/>
    <tableColumn id="11" xr3:uid="{00000000-0010-0000-0100-00000B000000}" name="HRP categories" dataDxfId="605"/>
    <tableColumn id="14" xr3:uid="{00000000-0010-0000-0100-00000E000000}" name="Current 4 W reported list" dataDxfId="604"/>
    <tableColumn id="15" xr3:uid="{00000000-0010-0000-0100-00000F000000}" name="HH_x000a_(CCCM as of Autust 2021)" dataDxfId="603"/>
    <tableColumn id="16" xr3:uid="{00000000-0010-0000-0100-000010000000}" name="Pop_x000a_(CCCM as of Autust 2021)" dataDxfId="602"/>
    <tableColumn id="17" xr3:uid="{00000000-0010-0000-0100-000011000000}" name="Updated Date" dataDxfId="601"/>
    <tableColumn id="18" xr3:uid="{00000000-0010-0000-0100-000012000000}" name="Remark" dataDxfId="600"/>
    <tableColumn id="19" xr3:uid="{00000000-0010-0000-0100-000013000000}" name="Site Name_(Old)" dataDxfId="599"/>
    <tableColumn id="24" xr3:uid="{00000000-0010-0000-0100-000018000000}" name="Comments form CCCM" dataDxfId="598"/>
    <tableColumn id="22" xr3:uid="{FF7E7C61-548A-4487-B9AE-0A934724C919}" name="PWD_Male" dataDxfId="597"/>
    <tableColumn id="23" xr3:uid="{654EFBAD-22A1-49C0-AB60-83A62C3C60F0}" name="PWD_Female" dataDxfId="596"/>
    <tableColumn id="25" xr3:uid="{719F0BE0-8EA8-40DC-A8EB-6402E5D429D2}" name="PWD_Total" dataDxfId="59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5:H70" totalsRowShown="0" headerRowDxfId="42" dataDxfId="40" headerRowBorderDxfId="41" tableBorderDxfId="39" totalsRowBorderDxfId="38">
  <tableColumns count="7">
    <tableColumn id="1" xr3:uid="{7AAB66BC-5BF5-40FD-97AF-974F7637521D}" name="Gap in WASH covered camps / Township" dataDxfId="37"/>
    <tableColumn id="6" xr3:uid="{E335C298-4096-479C-9F84-9F534AB30841}" name="Partners " dataDxfId="36"/>
    <tableColumn id="7" xr3:uid="{BE20E5F5-CB4E-4255-B18C-D925A373D0C4}" name="# of sites" dataDxfId="35"/>
    <tableColumn id="2" xr3:uid="{ACC512AB-C6CA-48DF-8319-F409BB1D2EDF}" name="Total population" dataDxfId="34" dataCellStyle="Comma"/>
    <tableColumn id="3" xr3:uid="{0ACF7DF9-3CD0-4BE0-A469-5884EF213179}" name=" % _x000a_Water Gap" dataDxfId="33"/>
    <tableColumn id="4" xr3:uid="{D40DD8CD-93F1-46D7-B55E-1437D73B6B01}" name=" %_x000a_ Sanitation Gap" dataDxfId="32"/>
    <tableColumn id="5" xr3:uid="{219F4310-BB9C-4E5E-8F9A-AACDA441F896}" name="%  _x000a_Hygiene Gap" dataDxfId="3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8.xml"/><Relationship Id="rId18" Type="http://schemas.openxmlformats.org/officeDocument/2006/relationships/pivotTable" Target="../pivotTables/pivotTable23.xml"/><Relationship Id="rId26" Type="http://schemas.openxmlformats.org/officeDocument/2006/relationships/pivotTable" Target="../pivotTables/pivotTable31.xml"/><Relationship Id="rId3" Type="http://schemas.openxmlformats.org/officeDocument/2006/relationships/pivotTable" Target="../pivotTables/pivotTable8.xml"/><Relationship Id="rId21" Type="http://schemas.openxmlformats.org/officeDocument/2006/relationships/pivotTable" Target="../pivotTables/pivotTable26.xml"/><Relationship Id="rId7" Type="http://schemas.openxmlformats.org/officeDocument/2006/relationships/pivotTable" Target="../pivotTables/pivotTable12.xml"/><Relationship Id="rId12" Type="http://schemas.openxmlformats.org/officeDocument/2006/relationships/pivotTable" Target="../pivotTables/pivotTable17.xml"/><Relationship Id="rId17" Type="http://schemas.openxmlformats.org/officeDocument/2006/relationships/pivotTable" Target="../pivotTables/pivotTable22.xml"/><Relationship Id="rId25" Type="http://schemas.openxmlformats.org/officeDocument/2006/relationships/pivotTable" Target="../pivotTables/pivotTable30.xml"/><Relationship Id="rId33" Type="http://schemas.microsoft.com/office/2007/relationships/slicer" Target="../slicers/slicer1.xml"/><Relationship Id="rId2" Type="http://schemas.openxmlformats.org/officeDocument/2006/relationships/pivotTable" Target="../pivotTables/pivotTable7.xml"/><Relationship Id="rId16" Type="http://schemas.openxmlformats.org/officeDocument/2006/relationships/pivotTable" Target="../pivotTables/pivotTable21.xml"/><Relationship Id="rId20" Type="http://schemas.openxmlformats.org/officeDocument/2006/relationships/pivotTable" Target="../pivotTables/pivotTable25.xml"/><Relationship Id="rId29" Type="http://schemas.openxmlformats.org/officeDocument/2006/relationships/pivotTable" Target="../pivotTables/pivotTable34.xml"/><Relationship Id="rId1" Type="http://schemas.openxmlformats.org/officeDocument/2006/relationships/pivotTable" Target="../pivotTables/pivotTable6.xml"/><Relationship Id="rId6" Type="http://schemas.openxmlformats.org/officeDocument/2006/relationships/pivotTable" Target="../pivotTables/pivotTable11.xml"/><Relationship Id="rId11" Type="http://schemas.openxmlformats.org/officeDocument/2006/relationships/pivotTable" Target="../pivotTables/pivotTable16.xml"/><Relationship Id="rId24" Type="http://schemas.openxmlformats.org/officeDocument/2006/relationships/pivotTable" Target="../pivotTables/pivotTable29.xml"/><Relationship Id="rId32" Type="http://schemas.openxmlformats.org/officeDocument/2006/relationships/drawing" Target="../drawings/drawing4.xml"/><Relationship Id="rId5" Type="http://schemas.openxmlformats.org/officeDocument/2006/relationships/pivotTable" Target="../pivotTables/pivotTable10.xml"/><Relationship Id="rId15" Type="http://schemas.openxmlformats.org/officeDocument/2006/relationships/pivotTable" Target="../pivotTables/pivotTable20.xml"/><Relationship Id="rId23" Type="http://schemas.openxmlformats.org/officeDocument/2006/relationships/pivotTable" Target="../pivotTables/pivotTable28.xml"/><Relationship Id="rId28" Type="http://schemas.openxmlformats.org/officeDocument/2006/relationships/pivotTable" Target="../pivotTables/pivotTable33.xml"/><Relationship Id="rId10" Type="http://schemas.openxmlformats.org/officeDocument/2006/relationships/pivotTable" Target="../pivotTables/pivotTable15.xml"/><Relationship Id="rId19" Type="http://schemas.openxmlformats.org/officeDocument/2006/relationships/pivotTable" Target="../pivotTables/pivotTable24.xml"/><Relationship Id="rId31" Type="http://schemas.openxmlformats.org/officeDocument/2006/relationships/printerSettings" Target="../printerSettings/printerSettings8.bin"/><Relationship Id="rId4" Type="http://schemas.openxmlformats.org/officeDocument/2006/relationships/pivotTable" Target="../pivotTables/pivotTable9.xml"/><Relationship Id="rId9" Type="http://schemas.openxmlformats.org/officeDocument/2006/relationships/pivotTable" Target="../pivotTables/pivotTable14.xml"/><Relationship Id="rId14" Type="http://schemas.openxmlformats.org/officeDocument/2006/relationships/pivotTable" Target="../pivotTables/pivotTable19.xml"/><Relationship Id="rId22" Type="http://schemas.openxmlformats.org/officeDocument/2006/relationships/pivotTable" Target="../pivotTables/pivotTable27.xml"/><Relationship Id="rId27" Type="http://schemas.openxmlformats.org/officeDocument/2006/relationships/pivotTable" Target="../pivotTables/pivotTable32.xml"/><Relationship Id="rId30" Type="http://schemas.openxmlformats.org/officeDocument/2006/relationships/pivotTable" Target="../pivotTables/pivotTable35.xml"/><Relationship Id="rId8"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3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ivotTable" Target="../pivotTables/pivotTable37.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3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946" t="s">
        <v>76</v>
      </c>
      <c r="C2" s="947"/>
      <c r="D2" s="947"/>
      <c r="E2" s="947"/>
      <c r="F2" s="947"/>
      <c r="G2" s="947"/>
      <c r="H2" s="947"/>
      <c r="I2" s="947"/>
      <c r="J2" s="947"/>
      <c r="K2" s="947"/>
      <c r="L2" s="947"/>
      <c r="M2" s="947"/>
      <c r="N2" s="947"/>
      <c r="O2" s="947"/>
      <c r="P2" s="947"/>
      <c r="Q2" s="947"/>
      <c r="R2" s="947"/>
      <c r="S2" s="947"/>
      <c r="T2" s="948"/>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949" t="s">
        <v>2691</v>
      </c>
      <c r="E26" s="950"/>
      <c r="F26" s="950"/>
      <c r="G26" s="950"/>
      <c r="H26" s="950"/>
      <c r="I26" s="950"/>
      <c r="J26" s="950"/>
      <c r="K26" s="950"/>
      <c r="L26" s="950"/>
      <c r="M26" s="950"/>
      <c r="N26" s="950"/>
      <c r="O26" s="950"/>
      <c r="P26" s="950"/>
      <c r="Q26" s="950"/>
      <c r="R26" s="950"/>
      <c r="S26" s="950"/>
      <c r="T26" s="951"/>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6" t="s">
        <v>2692</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F60AC-150D-49E3-A783-73750E15CB28}">
  <dimension ref="A1:C20"/>
  <sheetViews>
    <sheetView workbookViewId="0"/>
  </sheetViews>
  <sheetFormatPr defaultRowHeight="15.5"/>
  <cols>
    <col min="1" max="1" width="15.4140625" bestFit="1" customWidth="1"/>
    <col min="2" max="2" width="40" bestFit="1" customWidth="1"/>
    <col min="3" max="3" width="45.33203125" bestFit="1" customWidth="1"/>
  </cols>
  <sheetData>
    <row r="1" spans="1:3">
      <c r="A1" s="925" t="s">
        <v>3192</v>
      </c>
    </row>
    <row r="2" spans="1:3">
      <c r="A2" s="926" t="s">
        <v>3193</v>
      </c>
      <c r="B2" s="926" t="s">
        <v>3194</v>
      </c>
      <c r="C2" s="926" t="s">
        <v>3195</v>
      </c>
    </row>
    <row r="3" spans="1:3">
      <c r="A3">
        <v>1</v>
      </c>
      <c r="B3" t="s">
        <v>3196</v>
      </c>
      <c r="C3" t="s">
        <v>3197</v>
      </c>
    </row>
    <row r="4" spans="1:3">
      <c r="A4">
        <v>2</v>
      </c>
      <c r="B4" t="s">
        <v>3198</v>
      </c>
      <c r="C4" t="s">
        <v>3199</v>
      </c>
    </row>
    <row r="5" spans="1:3">
      <c r="A5">
        <v>3</v>
      </c>
      <c r="B5" t="s">
        <v>3200</v>
      </c>
      <c r="C5" t="s">
        <v>3201</v>
      </c>
    </row>
    <row r="6" spans="1:3">
      <c r="A6">
        <v>4</v>
      </c>
      <c r="B6" t="s">
        <v>3202</v>
      </c>
      <c r="C6" t="s">
        <v>3203</v>
      </c>
    </row>
    <row r="7" spans="1:3">
      <c r="A7">
        <v>5</v>
      </c>
      <c r="B7" t="s">
        <v>3204</v>
      </c>
      <c r="C7" t="s">
        <v>3205</v>
      </c>
    </row>
    <row r="8" spans="1:3">
      <c r="A8">
        <v>6</v>
      </c>
      <c r="B8" t="s">
        <v>3206</v>
      </c>
      <c r="C8" t="s">
        <v>3207</v>
      </c>
    </row>
    <row r="9" spans="1:3">
      <c r="A9">
        <v>7</v>
      </c>
      <c r="B9" t="s">
        <v>3208</v>
      </c>
      <c r="C9" t="s">
        <v>3209</v>
      </c>
    </row>
    <row r="10" spans="1:3">
      <c r="A10">
        <v>8</v>
      </c>
      <c r="B10" t="s">
        <v>3210</v>
      </c>
      <c r="C10" t="s">
        <v>3211</v>
      </c>
    </row>
    <row r="12" spans="1:3">
      <c r="A12" s="925" t="s">
        <v>3212</v>
      </c>
    </row>
    <row r="13" spans="1:3">
      <c r="A13" s="926" t="s">
        <v>3193</v>
      </c>
      <c r="B13" s="926" t="s">
        <v>3213</v>
      </c>
      <c r="C13" s="926" t="s">
        <v>3195</v>
      </c>
    </row>
    <row r="16" spans="1:3">
      <c r="A16" s="925" t="s">
        <v>3214</v>
      </c>
      <c r="B16" t="s">
        <v>3215</v>
      </c>
    </row>
    <row r="17" spans="2:2">
      <c r="B17" t="s">
        <v>3216</v>
      </c>
    </row>
    <row r="19" spans="2:2">
      <c r="B19" t="s">
        <v>3217</v>
      </c>
    </row>
    <row r="20" spans="2:2">
      <c r="B20" t="s">
        <v>3218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4"/>
  <sheetViews>
    <sheetView showGridLines="0" zoomScale="70" zoomScaleNormal="70" workbookViewId="0">
      <selection activeCell="E318" sqref="E318"/>
    </sheetView>
  </sheetViews>
  <sheetFormatPr defaultColWidth="9" defaultRowHeight="14.5"/>
  <cols>
    <col min="1" max="1" width="9.58203125" style="94" customWidth="1"/>
    <col min="2" max="2" width="36.83203125" style="94" bestFit="1" customWidth="1"/>
    <col min="3" max="3" width="6.1640625" style="94" bestFit="1" customWidth="1"/>
    <col min="4" max="4" width="17.83203125" style="94" customWidth="1"/>
    <col min="5" max="5" width="16" style="94" customWidth="1"/>
    <col min="6" max="6" width="17.1640625" style="94" customWidth="1"/>
    <col min="7" max="7" width="12.5" style="94" customWidth="1"/>
    <col min="8" max="8" width="14.58203125" style="94" customWidth="1"/>
    <col min="9" max="9" width="14.6640625" style="94" customWidth="1"/>
    <col min="10" max="10" width="15.1640625" style="94" bestFit="1" customWidth="1"/>
    <col min="11" max="11" width="16.83203125" style="94" bestFit="1" customWidth="1"/>
    <col min="12" max="12" width="11" style="94" customWidth="1"/>
    <col min="13" max="13" width="20" style="94" customWidth="1"/>
    <col min="14" max="14" width="11.1640625" style="94" customWidth="1"/>
    <col min="15" max="15" width="11.58203125" style="94" bestFit="1" customWidth="1"/>
    <col min="16" max="16" width="8.5" style="94" customWidth="1"/>
    <col min="17" max="17" width="6.1640625" style="94" bestFit="1" customWidth="1"/>
    <col min="18" max="18" width="9.58203125" style="94" customWidth="1"/>
    <col min="19" max="19" width="13.08203125" style="94" customWidth="1"/>
    <col min="20" max="21" width="9.58203125" style="94" customWidth="1"/>
    <col min="22" max="22" width="14.1640625" style="94" customWidth="1"/>
    <col min="23" max="23" width="14.83203125" style="94" customWidth="1"/>
    <col min="24" max="24" width="13.83203125" style="94" customWidth="1"/>
    <col min="25" max="31" width="9.58203125" style="94" customWidth="1"/>
    <col min="32" max="32" width="16.6640625" style="94" customWidth="1"/>
    <col min="33" max="33" width="9.58203125" style="94" customWidth="1"/>
    <col min="34" max="16384" width="9"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51"/>
      <c r="E4" s="451"/>
      <c r="F4" s="451"/>
      <c r="G4" s="451"/>
      <c r="I4" s="927" t="s">
        <v>20</v>
      </c>
      <c r="J4" s="928" t="s">
        <v>3156</v>
      </c>
      <c r="K4" s="451"/>
      <c r="L4" s="928"/>
      <c r="M4" s="928"/>
      <c r="Q4" s="451"/>
    </row>
    <row r="5" spans="1:33" ht="15.5">
      <c r="B5" s="927" t="s">
        <v>20</v>
      </c>
      <c r="C5" s="928" t="s">
        <v>3156</v>
      </c>
      <c r="G5" s="451"/>
      <c r="I5" s="927" t="s">
        <v>34</v>
      </c>
      <c r="J5" s="928" t="s">
        <v>34</v>
      </c>
      <c r="L5" s="928"/>
      <c r="M5" s="928"/>
      <c r="Q5" s="451"/>
    </row>
    <row r="6" spans="1:33" ht="15.5">
      <c r="B6" s="927" t="s">
        <v>34</v>
      </c>
      <c r="C6" s="928" t="s">
        <v>34</v>
      </c>
      <c r="G6" s="451"/>
      <c r="I6" s="901" t="s">
        <v>21</v>
      </c>
      <c r="J6" s="928" t="s">
        <v>293</v>
      </c>
      <c r="L6" s="451"/>
      <c r="M6" s="928"/>
      <c r="Q6" s="451"/>
    </row>
    <row r="7" spans="1:33" ht="15.5">
      <c r="B7" s="901" t="s">
        <v>21</v>
      </c>
      <c r="C7" s="928" t="s">
        <v>293</v>
      </c>
      <c r="G7" s="451"/>
      <c r="I7" s="927" t="s">
        <v>123</v>
      </c>
      <c r="J7" s="928" t="s">
        <v>43</v>
      </c>
      <c r="L7" s="928"/>
      <c r="M7" s="928"/>
      <c r="Q7" s="451"/>
    </row>
    <row r="8" spans="1:33" ht="15.5">
      <c r="B8" s="927" t="s">
        <v>123</v>
      </c>
      <c r="C8" s="928" t="s">
        <v>43</v>
      </c>
      <c r="G8" s="451"/>
      <c r="I8" s="927" t="s">
        <v>23</v>
      </c>
      <c r="J8" s="928" t="s">
        <v>1865</v>
      </c>
      <c r="L8" s="451"/>
      <c r="N8" s="146"/>
      <c r="Q8" s="451"/>
      <c r="AE8" s="146"/>
    </row>
    <row r="9" spans="1:33" s="99" customFormat="1" ht="15.5">
      <c r="B9" s="451"/>
      <c r="C9" s="94"/>
      <c r="D9" s="146" t="s">
        <v>43</v>
      </c>
      <c r="E9" s="94"/>
      <c r="F9" s="94"/>
      <c r="G9" s="451"/>
      <c r="I9" s="451"/>
      <c r="J9" s="94"/>
      <c r="K9" s="146" t="s">
        <v>43</v>
      </c>
      <c r="L9"/>
      <c r="M9"/>
      <c r="N9"/>
      <c r="O9"/>
      <c r="P9"/>
      <c r="Q9"/>
      <c r="R9" s="94"/>
      <c r="S9" s="94"/>
      <c r="T9" s="94"/>
      <c r="U9" s="94"/>
      <c r="V9" s="94"/>
      <c r="W9" s="94"/>
      <c r="X9" s="94"/>
      <c r="Y9" s="94"/>
      <c r="Z9" s="94"/>
      <c r="AA9" s="94"/>
      <c r="AE9"/>
      <c r="AF9"/>
      <c r="AG9"/>
    </row>
    <row r="10" spans="1:33" s="99" customFormat="1" ht="15.5">
      <c r="B10" s="929" t="s">
        <v>22</v>
      </c>
      <c r="C10" s="928" t="s">
        <v>3012</v>
      </c>
      <c r="D10" s="933" t="s">
        <v>1869</v>
      </c>
      <c r="E10" s="928" t="s">
        <v>2753</v>
      </c>
      <c r="F10" s="928" t="s">
        <v>2754</v>
      </c>
      <c r="G10" s="928" t="s">
        <v>2755</v>
      </c>
      <c r="I10" s="929" t="s">
        <v>22</v>
      </c>
      <c r="J10" s="927" t="s">
        <v>2281</v>
      </c>
      <c r="K10"/>
      <c r="L10"/>
      <c r="M10"/>
      <c r="N10"/>
      <c r="O10"/>
      <c r="P10" s="673"/>
      <c r="Q10" s="934"/>
      <c r="R10" s="94"/>
      <c r="S10" s="94"/>
      <c r="T10" s="94"/>
      <c r="U10" s="94"/>
      <c r="V10" s="94"/>
      <c r="W10" s="94"/>
      <c r="X10" s="94"/>
      <c r="Y10" s="94"/>
      <c r="Z10" s="94"/>
      <c r="AA10" s="94"/>
      <c r="AE10"/>
      <c r="AF10"/>
      <c r="AG10"/>
    </row>
    <row r="11" spans="1:33" ht="15.5">
      <c r="B11" s="930" t="s">
        <v>356</v>
      </c>
      <c r="C11" s="931">
        <v>1</v>
      </c>
      <c r="D11" s="935">
        <v>1067</v>
      </c>
      <c r="E11" s="932">
        <v>0</v>
      </c>
      <c r="F11" s="932">
        <v>0</v>
      </c>
      <c r="G11" s="932">
        <v>0</v>
      </c>
      <c r="I11" s="928" t="s">
        <v>356</v>
      </c>
      <c r="J11" s="928" t="s">
        <v>2256</v>
      </c>
      <c r="K11"/>
      <c r="L11"/>
      <c r="M11"/>
      <c r="N11"/>
      <c r="O11"/>
      <c r="P11" s="673"/>
      <c r="Q11" s="934"/>
      <c r="AE11"/>
      <c r="AF11"/>
      <c r="AG11"/>
    </row>
    <row r="12" spans="1:33" ht="15.5">
      <c r="B12" s="930" t="s">
        <v>398</v>
      </c>
      <c r="C12" s="931">
        <v>1</v>
      </c>
      <c r="D12" s="935">
        <v>2920</v>
      </c>
      <c r="E12" s="932">
        <v>1</v>
      </c>
      <c r="F12" s="932">
        <v>0</v>
      </c>
      <c r="G12" s="932">
        <v>1</v>
      </c>
      <c r="I12" s="928" t="s">
        <v>398</v>
      </c>
      <c r="J12" s="928" t="s">
        <v>397</v>
      </c>
      <c r="K12"/>
      <c r="L12"/>
      <c r="M12"/>
      <c r="N12"/>
      <c r="O12"/>
      <c r="P12" s="673"/>
      <c r="Q12" s="934"/>
      <c r="AE12"/>
      <c r="AF12"/>
      <c r="AG12"/>
    </row>
    <row r="13" spans="1:33" ht="15.5">
      <c r="B13" s="930" t="s">
        <v>401</v>
      </c>
      <c r="C13" s="931">
        <v>5</v>
      </c>
      <c r="D13" s="935">
        <v>24484</v>
      </c>
      <c r="E13" s="932">
        <v>0</v>
      </c>
      <c r="F13" s="932">
        <v>0.2687060937755269</v>
      </c>
      <c r="G13" s="932">
        <v>0</v>
      </c>
      <c r="I13" s="928" t="s">
        <v>401</v>
      </c>
      <c r="J13" s="928" t="s">
        <v>286</v>
      </c>
      <c r="K13"/>
      <c r="L13"/>
      <c r="M13"/>
      <c r="N13"/>
      <c r="O13"/>
      <c r="P13" s="673"/>
      <c r="Q13" s="934"/>
      <c r="AB13"/>
      <c r="AE13"/>
      <c r="AF13"/>
      <c r="AG13"/>
    </row>
    <row r="14" spans="1:33" ht="15.5">
      <c r="B14" s="930" t="s">
        <v>294</v>
      </c>
      <c r="C14" s="931">
        <v>14</v>
      </c>
      <c r="D14" s="935">
        <v>86874</v>
      </c>
      <c r="E14" s="932">
        <v>0</v>
      </c>
      <c r="F14" s="932">
        <v>0.12563022308170457</v>
      </c>
      <c r="G14" s="932">
        <v>0.71104127817298624</v>
      </c>
      <c r="I14" s="928"/>
      <c r="J14" s="928" t="s">
        <v>265</v>
      </c>
      <c r="K14"/>
      <c r="L14"/>
      <c r="M14"/>
      <c r="N14"/>
      <c r="O14"/>
      <c r="P14"/>
      <c r="Q14" s="934"/>
      <c r="AB14"/>
      <c r="AE14"/>
      <c r="AF14"/>
      <c r="AG14"/>
    </row>
    <row r="15" spans="1:33" ht="15.5">
      <c r="B15" s="930" t="s">
        <v>1621</v>
      </c>
      <c r="C15" s="931">
        <v>21</v>
      </c>
      <c r="D15" s="935">
        <v>115345</v>
      </c>
      <c r="E15" s="932">
        <v>2.5315358273007016E-2</v>
      </c>
      <c r="F15" s="932">
        <v>0.15165806927044956</v>
      </c>
      <c r="G15" s="932">
        <v>0.55086046209198491</v>
      </c>
      <c r="I15" s="928" t="s">
        <v>294</v>
      </c>
      <c r="J15" s="928" t="s">
        <v>2269</v>
      </c>
      <c r="K15"/>
      <c r="L15"/>
      <c r="M15"/>
      <c r="N15"/>
      <c r="AB15"/>
      <c r="AE15"/>
      <c r="AF15"/>
      <c r="AG15"/>
    </row>
    <row r="16" spans="1:33" ht="15.5">
      <c r="B16"/>
      <c r="C16"/>
      <c r="D16"/>
      <c r="E16"/>
      <c r="F16"/>
      <c r="G16" s="451"/>
      <c r="I16" s="928"/>
      <c r="J16" s="928" t="s">
        <v>2270</v>
      </c>
      <c r="O16"/>
      <c r="P16"/>
      <c r="Q16"/>
      <c r="R16"/>
      <c r="S16"/>
      <c r="U16" s="350"/>
      <c r="AB16"/>
      <c r="AE16"/>
      <c r="AF16"/>
      <c r="AG16"/>
    </row>
    <row r="17" spans="1:33" ht="15.5">
      <c r="B17"/>
      <c r="C17"/>
      <c r="D17"/>
      <c r="E17" s="672"/>
      <c r="F17"/>
      <c r="G17"/>
      <c r="H17"/>
      <c r="I17" s="928"/>
      <c r="J17" s="928" t="s">
        <v>286</v>
      </c>
      <c r="K17"/>
      <c r="L17"/>
      <c r="M17"/>
      <c r="N17"/>
      <c r="O17"/>
      <c r="P17"/>
      <c r="Q17"/>
      <c r="R17"/>
      <c r="S17"/>
      <c r="AB17"/>
      <c r="AE17"/>
      <c r="AF17"/>
      <c r="AG17"/>
    </row>
    <row r="18" spans="1:33" ht="15.5">
      <c r="B18" s="451"/>
      <c r="C18" s="451"/>
      <c r="D18" s="451"/>
      <c r="E18" s="672"/>
      <c r="F18" s="451"/>
      <c r="G18" s="451"/>
      <c r="H18" s="451"/>
      <c r="I18" s="928" t="s">
        <v>1621</v>
      </c>
      <c r="J18" s="928"/>
      <c r="K18" s="451"/>
      <c r="L18" s="451"/>
      <c r="M18" s="451"/>
      <c r="N18" s="451"/>
      <c r="O18" s="451"/>
      <c r="P18" s="451"/>
      <c r="Q18" s="451"/>
      <c r="R18" s="451"/>
      <c r="S18" s="451"/>
      <c r="AB18" s="451"/>
      <c r="AE18" s="451"/>
      <c r="AF18" s="451"/>
      <c r="AG18" s="451"/>
    </row>
    <row r="19" spans="1:33" ht="15.5">
      <c r="B19" s="451"/>
      <c r="C19" s="451"/>
      <c r="D19" s="451"/>
      <c r="E19" s="672"/>
      <c r="F19" s="451"/>
      <c r="G19" s="451"/>
      <c r="H19" s="451"/>
      <c r="I19"/>
      <c r="J19"/>
      <c r="K19" s="451"/>
      <c r="L19" s="451"/>
      <c r="M19" s="451"/>
      <c r="N19" s="451"/>
      <c r="O19" s="451"/>
      <c r="P19" s="451"/>
      <c r="Q19" s="451"/>
      <c r="R19" s="451"/>
      <c r="S19" s="451"/>
      <c r="AB19" s="451"/>
      <c r="AE19" s="451"/>
      <c r="AF19" s="451"/>
      <c r="AG19" s="451"/>
    </row>
    <row r="20" spans="1:33" ht="15.5">
      <c r="B20" s="451"/>
      <c r="C20" s="451"/>
      <c r="D20" s="451"/>
      <c r="E20" s="672"/>
      <c r="F20" s="451"/>
      <c r="G20" s="451"/>
      <c r="H20" s="451"/>
      <c r="I20"/>
      <c r="J20"/>
      <c r="K20" s="451"/>
      <c r="L20" s="451"/>
      <c r="M20" s="451"/>
      <c r="N20" s="451"/>
      <c r="O20" s="451"/>
      <c r="P20" s="451"/>
      <c r="Q20" s="451"/>
      <c r="R20" s="451"/>
      <c r="S20" s="451"/>
      <c r="AB20" s="451"/>
      <c r="AE20" s="451"/>
      <c r="AF20" s="451"/>
      <c r="AG20" s="451"/>
    </row>
    <row r="21" spans="1:33" ht="15.5">
      <c r="B21" s="451"/>
      <c r="C21" s="451"/>
      <c r="D21" s="451"/>
      <c r="E21" s="672"/>
      <c r="F21" s="451"/>
      <c r="G21" s="451"/>
      <c r="H21" s="451"/>
      <c r="I21"/>
      <c r="J21"/>
      <c r="K21" s="451"/>
      <c r="L21" s="451"/>
      <c r="M21" s="451"/>
      <c r="N21" s="451"/>
      <c r="O21" s="451"/>
      <c r="P21" s="451"/>
      <c r="Q21" s="451"/>
      <c r="R21" s="451"/>
      <c r="S21" s="451"/>
      <c r="AB21" s="451"/>
      <c r="AE21" s="451"/>
      <c r="AF21" s="451"/>
      <c r="AG21" s="451"/>
    </row>
    <row r="22" spans="1:33" s="113" customFormat="1" ht="18.5">
      <c r="A22" s="445"/>
      <c r="B22" s="446"/>
      <c r="C22" s="446"/>
      <c r="D22" s="446"/>
      <c r="E22" s="446"/>
      <c r="F22" s="446"/>
      <c r="G22" s="446"/>
      <c r="H22" s="447"/>
      <c r="I22" s="448"/>
      <c r="J22" s="449"/>
      <c r="K22" s="449"/>
      <c r="L22" s="449"/>
      <c r="M22" s="446"/>
      <c r="N22" s="446"/>
      <c r="O22" s="446"/>
      <c r="P22" s="446"/>
      <c r="Q22" s="446"/>
      <c r="R22" s="446"/>
      <c r="S22" s="446"/>
      <c r="T22" s="446"/>
      <c r="U22" s="446"/>
      <c r="V22" s="446"/>
      <c r="W22" s="446"/>
      <c r="X22" s="446"/>
      <c r="Y22" s="446"/>
      <c r="Z22" s="446"/>
      <c r="AC22" s="363"/>
      <c r="AF22" s="363"/>
    </row>
    <row r="23" spans="1:33" ht="18.5">
      <c r="A23" s="141" t="s">
        <v>1972</v>
      </c>
      <c r="B23" s="102"/>
      <c r="C23" s="102"/>
      <c r="D23" s="102"/>
      <c r="E23" s="102"/>
      <c r="F23" s="102"/>
      <c r="G23" s="102"/>
      <c r="H23" s="442"/>
      <c r="I23" s="443"/>
      <c r="J23" s="444"/>
      <c r="K23" s="444"/>
      <c r="L23" s="444"/>
      <c r="M23" s="102"/>
      <c r="N23" s="102"/>
      <c r="O23" s="102"/>
      <c r="P23" s="102"/>
      <c r="Q23" s="102"/>
      <c r="R23" s="102"/>
      <c r="S23" s="102"/>
      <c r="T23" s="102"/>
      <c r="U23" s="102"/>
      <c r="V23" s="102"/>
      <c r="W23" s="102"/>
      <c r="X23" s="102"/>
      <c r="Y23" s="102"/>
      <c r="Z23" s="102"/>
      <c r="AC23" s="350"/>
      <c r="AF23" s="350"/>
    </row>
    <row r="24" spans="1:33" ht="15.5">
      <c r="AC24"/>
      <c r="AF24"/>
    </row>
    <row r="25" spans="1:33" ht="15.5">
      <c r="AC25"/>
    </row>
    <row r="26" spans="1:33" ht="15.5">
      <c r="B26" s="927" t="s">
        <v>20</v>
      </c>
      <c r="C26" s="928" t="s">
        <v>3156</v>
      </c>
      <c r="I26"/>
      <c r="J26"/>
      <c r="L26" s="927" t="s">
        <v>20</v>
      </c>
      <c r="M26" s="928" t="s">
        <v>3156</v>
      </c>
      <c r="AC26"/>
    </row>
    <row r="27" spans="1:33" ht="15.5">
      <c r="B27" s="901" t="s">
        <v>21</v>
      </c>
      <c r="C27" s="928" t="s">
        <v>293</v>
      </c>
      <c r="I27"/>
      <c r="J27"/>
      <c r="L27" s="901" t="s">
        <v>21</v>
      </c>
      <c r="M27" s="928" t="s">
        <v>293</v>
      </c>
      <c r="AC27"/>
    </row>
    <row r="28" spans="1:33" ht="15.5">
      <c r="B28" s="927" t="s">
        <v>34</v>
      </c>
      <c r="C28" s="928" t="s">
        <v>34</v>
      </c>
      <c r="I28"/>
      <c r="J28"/>
      <c r="L28" s="927" t="s">
        <v>34</v>
      </c>
      <c r="M28" s="928" t="s">
        <v>34</v>
      </c>
      <c r="P28" s="792" t="s">
        <v>1915</v>
      </c>
      <c r="Q28" s="119">
        <f>GETPIVOTDATA("Sum of #_Functional_improved_water_source_Handpump",$L$30,"Location Type","Camp")+GETPIVOTDATA("Sum of #_Functional_improved_water_source_tapstand_handdugwell",$L$30,"Location Type","Camp")</f>
        <v>1206</v>
      </c>
      <c r="AC28"/>
    </row>
    <row r="29" spans="1:33" ht="15.5">
      <c r="P29" s="792" t="s">
        <v>3048</v>
      </c>
      <c r="Q29" s="119">
        <f>(GETPIVOTDATA("Sum of #_Existing_improved_water_source_Handpump",$L$30,"Location Type","Camp")+GETPIVOTDATA("Sum of #_Existing_improved_water_source_tapstand_handdugwell",$L$30,"Location Type","Camp"))-Q28</f>
        <v>131</v>
      </c>
      <c r="AC29"/>
    </row>
    <row r="30" spans="1:33" ht="29">
      <c r="B30" s="927" t="s">
        <v>1619</v>
      </c>
      <c r="C30" s="933" t="s">
        <v>1626</v>
      </c>
      <c r="D30" s="933" t="s">
        <v>1627</v>
      </c>
      <c r="I30"/>
      <c r="J30"/>
      <c r="K30"/>
      <c r="L30" s="927" t="s">
        <v>1619</v>
      </c>
      <c r="M30" s="928" t="s">
        <v>3126</v>
      </c>
      <c r="N30" s="928" t="s">
        <v>3127</v>
      </c>
      <c r="O30" s="928" t="s">
        <v>3142</v>
      </c>
      <c r="P30" s="928" t="s">
        <v>3143</v>
      </c>
      <c r="Q30" s="393"/>
      <c r="R30" s="393"/>
      <c r="S30" s="393"/>
      <c r="T30" s="393"/>
      <c r="U30" s="393"/>
      <c r="V30" s="393"/>
      <c r="W30" s="393"/>
      <c r="X30" s="393"/>
      <c r="Y30" s="393"/>
      <c r="Z30" s="393"/>
      <c r="AA30" s="393"/>
      <c r="AB30" s="393"/>
      <c r="AC30" s="393"/>
      <c r="AD30" s="393"/>
      <c r="AE30" s="393"/>
      <c r="AF30" s="393"/>
      <c r="AG30" s="393"/>
    </row>
    <row r="31" spans="1:33" ht="15.5">
      <c r="B31" s="930" t="s">
        <v>43</v>
      </c>
      <c r="C31" s="936">
        <v>224.85000000000005</v>
      </c>
      <c r="D31" s="936">
        <v>6.9260000000000002</v>
      </c>
      <c r="I31"/>
      <c r="J31"/>
      <c r="K31"/>
      <c r="L31" s="930" t="s">
        <v>43</v>
      </c>
      <c r="M31" s="931">
        <v>1105</v>
      </c>
      <c r="N31" s="931">
        <v>1230</v>
      </c>
      <c r="O31" s="931">
        <v>101</v>
      </c>
      <c r="P31" s="931">
        <v>107</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c r="B42" s="927" t="s">
        <v>20</v>
      </c>
      <c r="C42" s="928" t="s">
        <v>3156</v>
      </c>
      <c r="D42" s="101"/>
      <c r="E42" s="161"/>
      <c r="F42" s="101"/>
      <c r="G42" s="101"/>
      <c r="P42" s="927" t="s">
        <v>20</v>
      </c>
      <c r="Q42" s="928" t="s">
        <v>3156</v>
      </c>
      <c r="R42" s="101"/>
      <c r="S42" s="161" t="s">
        <v>2199</v>
      </c>
      <c r="T42" s="101"/>
    </row>
    <row r="43" spans="2:33">
      <c r="B43" s="927" t="s">
        <v>34</v>
      </c>
      <c r="C43" s="928" t="s">
        <v>34</v>
      </c>
      <c r="D43" s="101"/>
      <c r="F43" s="101"/>
      <c r="G43" s="101"/>
      <c r="P43" s="927" t="s">
        <v>34</v>
      </c>
      <c r="Q43" s="928" t="s">
        <v>34</v>
      </c>
      <c r="R43" s="101"/>
      <c r="T43" s="101"/>
    </row>
    <row r="44" spans="2:33">
      <c r="B44" s="927" t="s">
        <v>123</v>
      </c>
      <c r="C44" s="928" t="s">
        <v>43</v>
      </c>
      <c r="D44" s="101"/>
      <c r="F44" s="101"/>
      <c r="G44" s="101"/>
      <c r="P44" s="927" t="s">
        <v>123</v>
      </c>
      <c r="Q44" s="928" t="s">
        <v>43</v>
      </c>
      <c r="R44" s="101"/>
      <c r="T44" s="101"/>
    </row>
    <row r="45" spans="2:33" ht="15" thickBot="1">
      <c r="B45" s="101"/>
      <c r="C45" s="101"/>
      <c r="D45" s="101"/>
      <c r="F45" s="101"/>
      <c r="G45" s="101"/>
      <c r="P45" s="101"/>
      <c r="Q45" s="101"/>
      <c r="R45" s="101"/>
      <c r="S45" s="1010" t="s">
        <v>127</v>
      </c>
      <c r="T45" s="1011"/>
    </row>
    <row r="46" spans="2:33" ht="29.5" thickBot="1">
      <c r="B46" s="929" t="s">
        <v>21</v>
      </c>
      <c r="C46" s="928" t="s">
        <v>2898</v>
      </c>
      <c r="D46" s="928" t="s">
        <v>3123</v>
      </c>
      <c r="E46"/>
      <c r="F46" s="506" t="s">
        <v>21</v>
      </c>
      <c r="G46" s="438" t="s">
        <v>1868</v>
      </c>
      <c r="H46" s="439" t="s">
        <v>1906</v>
      </c>
      <c r="I46" s="439" t="s">
        <v>1905</v>
      </c>
      <c r="J46" s="440" t="s">
        <v>3124</v>
      </c>
      <c r="K46" s="440" t="s">
        <v>3125</v>
      </c>
      <c r="L46" s="439" t="s">
        <v>2796</v>
      </c>
      <c r="P46" s="929" t="s">
        <v>21</v>
      </c>
      <c r="Q46" s="928" t="s">
        <v>2899</v>
      </c>
      <c r="R46" s="928" t="s">
        <v>3128</v>
      </c>
      <c r="S46"/>
      <c r="T46"/>
      <c r="U46" s="393"/>
      <c r="V46" s="506" t="s">
        <v>21</v>
      </c>
      <c r="W46" s="438" t="s">
        <v>1868</v>
      </c>
      <c r="X46" s="439" t="s">
        <v>1906</v>
      </c>
      <c r="Y46" s="439" t="s">
        <v>2797</v>
      </c>
      <c r="Z46" s="440" t="s">
        <v>3124</v>
      </c>
      <c r="AA46" s="440" t="s">
        <v>3125</v>
      </c>
      <c r="AB46" s="439" t="s">
        <v>2798</v>
      </c>
      <c r="AC46" s="393"/>
      <c r="AD46" s="393"/>
      <c r="AE46" s="393"/>
      <c r="AF46" s="393"/>
      <c r="AG46" s="393"/>
    </row>
    <row r="47" spans="2:33" ht="15.5">
      <c r="B47" s="930" t="s">
        <v>293</v>
      </c>
      <c r="C47" s="931">
        <v>36</v>
      </c>
      <c r="D47" s="932">
        <v>1</v>
      </c>
      <c r="E47"/>
      <c r="F47" s="122" t="s">
        <v>2627</v>
      </c>
      <c r="G47" s="441">
        <v>21</v>
      </c>
      <c r="H47" s="441">
        <f>GETPIVOTDATA("[Measures].[Distinct Count of Site Name]",$B$53)</f>
        <v>1</v>
      </c>
      <c r="I47" s="507">
        <f>G47-H47</f>
        <v>20</v>
      </c>
      <c r="J47" s="826">
        <f>GETPIVOTDATA("Average of %_Water samples _passed_at_water source",$B$46,"State","Rakhine")</f>
        <v>1</v>
      </c>
      <c r="K47" s="826">
        <f>1-J47</f>
        <v>0</v>
      </c>
      <c r="L47" s="441">
        <f>GETPIVOTDATA("Sum of #_Water samples_Tested_at_water_source2",$B$46,"State","Rakhine")</f>
        <v>36</v>
      </c>
      <c r="P47" s="930" t="s">
        <v>293</v>
      </c>
      <c r="Q47" s="931">
        <v>84</v>
      </c>
      <c r="R47" s="932">
        <v>0.99</v>
      </c>
      <c r="S47"/>
      <c r="T47"/>
      <c r="V47" s="122" t="s">
        <v>2627</v>
      </c>
      <c r="W47" s="441">
        <v>21</v>
      </c>
      <c r="X47" s="441">
        <f>GETPIVOTDATA("[Measures].[Distinct Count of Site Name]",$P$54)</f>
        <v>1</v>
      </c>
      <c r="Y47" s="441">
        <f>W47-X47</f>
        <v>20</v>
      </c>
      <c r="Z47" s="826">
        <f>GETPIVOTDATA("Average of %_Water samples _passed_at_HH",$P$46,"State","Rakhine")</f>
        <v>0.99</v>
      </c>
      <c r="AA47" s="826">
        <f>1-Z47</f>
        <v>1.0000000000000009E-2</v>
      </c>
      <c r="AB47" s="734">
        <f>GETPIVOTDATA("Sum of #_Water samples_Tested_at_HH2",$P$46,"State","Rakhine")</f>
        <v>84</v>
      </c>
    </row>
    <row r="48" spans="2:33" ht="15.5">
      <c r="B48" s="930" t="s">
        <v>1621</v>
      </c>
      <c r="C48" s="931">
        <v>36</v>
      </c>
      <c r="D48" s="931">
        <v>1</v>
      </c>
      <c r="E48"/>
      <c r="F48"/>
      <c r="G48" s="101"/>
      <c r="P48" s="930" t="s">
        <v>1621</v>
      </c>
      <c r="Q48" s="931">
        <v>84</v>
      </c>
      <c r="R48" s="932">
        <v>0.99</v>
      </c>
      <c r="S48"/>
      <c r="T48"/>
    </row>
    <row r="49" spans="2:20" ht="15.5">
      <c r="B49" s="747"/>
      <c r="C49" s="748"/>
      <c r="D49" s="748"/>
      <c r="E49" s="451"/>
      <c r="F49" s="451"/>
      <c r="G49" s="101"/>
      <c r="P49" s="747"/>
      <c r="Q49" s="748"/>
      <c r="R49" s="748"/>
      <c r="S49" s="748"/>
      <c r="T49" s="748"/>
    </row>
    <row r="50" spans="2:20" ht="15.5">
      <c r="B50"/>
      <c r="C50"/>
      <c r="D50" s="748"/>
      <c r="E50" s="451"/>
      <c r="F50" s="451"/>
      <c r="G50" s="101"/>
      <c r="P50" s="747"/>
      <c r="Q50" s="748"/>
      <c r="R50" s="748"/>
      <c r="S50" s="748"/>
      <c r="T50" s="748"/>
    </row>
    <row r="51" spans="2:20" ht="15.5">
      <c r="B51" s="456" t="s">
        <v>2819</v>
      </c>
      <c r="C51" s="451" t="s" vm="1">
        <v>3219</v>
      </c>
      <c r="D51"/>
      <c r="E51"/>
      <c r="F51"/>
      <c r="G51" s="101"/>
      <c r="P51"/>
      <c r="Q51"/>
      <c r="R51"/>
      <c r="S51"/>
      <c r="T51"/>
    </row>
    <row r="52" spans="2:20" ht="15.5">
      <c r="B52"/>
      <c r="C52"/>
      <c r="D52"/>
      <c r="E52"/>
      <c r="F52"/>
      <c r="P52" s="456" t="s">
        <v>2820</v>
      </c>
      <c r="Q52" s="451" t="s" vm="2">
        <v>3220</v>
      </c>
      <c r="R52"/>
      <c r="S52"/>
      <c r="T52"/>
    </row>
    <row r="53" spans="2:20" ht="15.5">
      <c r="B53" t="s">
        <v>3007</v>
      </c>
      <c r="C53"/>
      <c r="D53"/>
      <c r="P53" s="451"/>
      <c r="Q53" s="451"/>
    </row>
    <row r="54" spans="2:20" ht="15.5">
      <c r="B54" s="450">
        <v>1</v>
      </c>
      <c r="C54"/>
      <c r="D54"/>
      <c r="P54" t="s">
        <v>3007</v>
      </c>
      <c r="Q54" s="451"/>
    </row>
    <row r="55" spans="2:20" ht="15.5">
      <c r="B55"/>
      <c r="C55"/>
      <c r="D55"/>
      <c r="E55" s="161"/>
      <c r="P55" s="450">
        <v>1</v>
      </c>
      <c r="Q55" s="451"/>
    </row>
    <row r="56" spans="2:20" ht="15.5">
      <c r="B56"/>
      <c r="C56"/>
      <c r="D56"/>
    </row>
    <row r="57" spans="2:20" ht="15.5">
      <c r="B57"/>
      <c r="C57"/>
      <c r="D57"/>
      <c r="E57" s="393"/>
      <c r="F57" s="393"/>
      <c r="G57" s="393"/>
    </row>
    <row r="58" spans="2:20" ht="15.5">
      <c r="B58"/>
      <c r="C58"/>
      <c r="D58"/>
    </row>
    <row r="59" spans="2:20" s="113" customFormat="1" ht="15.5">
      <c r="B59"/>
      <c r="C59"/>
      <c r="D59"/>
      <c r="E59" s="116"/>
      <c r="F59" s="116"/>
      <c r="G59" s="117"/>
    </row>
    <row r="60" spans="2:20" s="113" customFormat="1" ht="15.5">
      <c r="B60"/>
      <c r="C60"/>
      <c r="D60"/>
      <c r="E60" s="116"/>
      <c r="F60" s="116"/>
      <c r="G60" s="117"/>
    </row>
    <row r="61" spans="2:20" s="113" customFormat="1" ht="15.5">
      <c r="B61"/>
      <c r="C61"/>
      <c r="D61"/>
      <c r="E61" s="116"/>
      <c r="F61" s="116"/>
      <c r="G61" s="117"/>
    </row>
    <row r="62" spans="2:20" s="113" customFormat="1">
      <c r="B62" s="927" t="s">
        <v>20</v>
      </c>
      <c r="C62" s="928" t="s">
        <v>3156</v>
      </c>
      <c r="D62" s="101"/>
      <c r="E62" s="116"/>
      <c r="F62" s="116"/>
      <c r="G62" s="117"/>
    </row>
    <row r="63" spans="2:20" s="113" customFormat="1">
      <c r="B63" s="927" t="s">
        <v>34</v>
      </c>
      <c r="C63" s="928" t="s">
        <v>34</v>
      </c>
      <c r="D63" s="101"/>
      <c r="E63" s="116"/>
      <c r="F63" s="116"/>
      <c r="G63" s="117"/>
    </row>
    <row r="64" spans="2:20" s="113" customFormat="1">
      <c r="B64" s="927" t="s">
        <v>123</v>
      </c>
      <c r="C64" s="928" t="s">
        <v>43</v>
      </c>
      <c r="D64" s="101"/>
      <c r="E64" s="116"/>
      <c r="F64" s="116"/>
      <c r="G64" s="117"/>
    </row>
    <row r="65" spans="2:15" s="113" customFormat="1">
      <c r="B65" s="101"/>
      <c r="C65" s="101"/>
      <c r="D65" s="101"/>
      <c r="E65" s="116"/>
      <c r="F65" s="116"/>
      <c r="G65" s="117"/>
    </row>
    <row r="66" spans="2:15" s="113" customFormat="1">
      <c r="B66" s="927" t="s">
        <v>2633</v>
      </c>
      <c r="C66" s="927" t="s">
        <v>1916</v>
      </c>
      <c r="D66" s="928"/>
      <c r="E66" s="116"/>
      <c r="F66" s="116"/>
      <c r="G66" s="117"/>
    </row>
    <row r="67" spans="2:15" s="113" customFormat="1">
      <c r="B67" s="929" t="s">
        <v>21</v>
      </c>
      <c r="C67" s="928" t="s">
        <v>1905</v>
      </c>
      <c r="D67" s="928" t="s">
        <v>1906</v>
      </c>
      <c r="E67" s="116"/>
      <c r="F67" s="116"/>
      <c r="G67" s="117"/>
    </row>
    <row r="68" spans="2:15" s="113" customFormat="1">
      <c r="B68" s="930" t="s">
        <v>293</v>
      </c>
      <c r="C68" s="931">
        <v>20</v>
      </c>
      <c r="D68" s="931">
        <v>1</v>
      </c>
      <c r="E68" s="116"/>
      <c r="F68" s="116"/>
      <c r="G68" s="117"/>
    </row>
    <row r="69" spans="2:15" s="113" customFormat="1" ht="15.5">
      <c r="B69"/>
      <c r="C69"/>
      <c r="D69"/>
      <c r="E69" s="116"/>
      <c r="F69" s="116"/>
      <c r="G69" s="117"/>
    </row>
    <row r="70" spans="2:15" s="113" customFormat="1" ht="15.5">
      <c r="B70"/>
      <c r="C70"/>
      <c r="D70"/>
      <c r="E70" s="116"/>
      <c r="F70" s="116"/>
      <c r="G70" s="117"/>
    </row>
    <row r="71" spans="2:15" s="113" customFormat="1" ht="15" thickBot="1">
      <c r="B71" s="101"/>
      <c r="C71" s="101"/>
      <c r="D71" s="101"/>
      <c r="E71" s="116"/>
      <c r="F71" s="116"/>
      <c r="G71" s="117"/>
    </row>
    <row r="72" spans="2:15" s="113" customFormat="1" ht="15.5">
      <c r="B72" s="104"/>
      <c r="C72" s="107" t="s">
        <v>1905</v>
      </c>
      <c r="D72" s="108" t="s">
        <v>1906</v>
      </c>
      <c r="E72"/>
      <c r="F72" s="116"/>
      <c r="G72" s="117"/>
    </row>
    <row r="73" spans="2:15" s="113" customFormat="1" ht="15.5">
      <c r="B73" s="105"/>
      <c r="C73" s="109"/>
      <c r="D73" s="110"/>
      <c r="E73"/>
      <c r="F73" s="116"/>
      <c r="G73" s="117"/>
      <c r="M73"/>
      <c r="N73"/>
      <c r="O73"/>
    </row>
    <row r="74" spans="2:15" s="113" customFormat="1" ht="15.5">
      <c r="B74" s="105" t="s">
        <v>293</v>
      </c>
      <c r="C74" s="109">
        <f>GETPIVOTDATA("Warter quality test done",$B$66,"State","Rakhine","Warter quality test done","No Test")</f>
        <v>20</v>
      </c>
      <c r="D74" s="110">
        <f>GETPIVOTDATA("Warter quality test done",$B$66,"State","Rakhine","Warter quality test done","Tested")</f>
        <v>1</v>
      </c>
      <c r="E74"/>
      <c r="F74" s="116"/>
      <c r="G74" s="117"/>
      <c r="M74"/>
      <c r="N74"/>
      <c r="O74"/>
    </row>
    <row r="75" spans="2:15" s="113" customFormat="1" ht="16" thickBot="1">
      <c r="B75" s="106"/>
      <c r="C75" s="111"/>
      <c r="D75" s="112"/>
      <c r="E75" s="116"/>
      <c r="F75" s="116"/>
      <c r="G75" s="117"/>
      <c r="M75"/>
      <c r="N75"/>
      <c r="O75"/>
    </row>
    <row r="76" spans="2:15" s="113" customFormat="1" ht="15.5">
      <c r="B76"/>
      <c r="C76"/>
      <c r="D76"/>
      <c r="E76" s="116"/>
      <c r="F76" s="116"/>
      <c r="G76" s="117"/>
    </row>
    <row r="77" spans="2:15" s="113" customFormat="1" ht="15.5">
      <c r="B77"/>
      <c r="C77"/>
      <c r="D77"/>
      <c r="E77" s="116"/>
      <c r="F77" s="116"/>
      <c r="G77" s="117"/>
    </row>
    <row r="78" spans="2:15" s="113" customFormat="1" ht="15.5">
      <c r="B78"/>
      <c r="C78"/>
      <c r="D78" s="115"/>
      <c r="E78" s="116"/>
      <c r="F78" s="116"/>
      <c r="G78" s="117"/>
    </row>
    <row r="79" spans="2:15" s="113" customFormat="1">
      <c r="B79" s="927" t="s">
        <v>20</v>
      </c>
      <c r="C79" s="928" t="s">
        <v>3156</v>
      </c>
      <c r="D79" s="101"/>
      <c r="E79" s="116"/>
      <c r="F79" s="116"/>
      <c r="G79" s="117"/>
    </row>
    <row r="80" spans="2:15" s="113" customFormat="1">
      <c r="B80" s="927" t="s">
        <v>34</v>
      </c>
      <c r="C80" s="928" t="s">
        <v>34</v>
      </c>
      <c r="D80" s="101"/>
      <c r="E80" s="116"/>
      <c r="F80" s="116"/>
      <c r="G80" s="117"/>
    </row>
    <row r="81" spans="1:26" s="113" customFormat="1">
      <c r="B81" s="388" t="s">
        <v>21</v>
      </c>
      <c r="C81" s="928" t="s">
        <v>293</v>
      </c>
      <c r="D81" s="101"/>
      <c r="E81" s="116"/>
      <c r="F81" s="116"/>
      <c r="G81" s="117"/>
    </row>
    <row r="82" spans="1:26" s="113" customFormat="1">
      <c r="B82" s="388" t="s">
        <v>293</v>
      </c>
      <c r="C82" s="101"/>
      <c r="D82" s="101"/>
      <c r="E82" s="116"/>
      <c r="F82" s="116"/>
      <c r="G82" s="117"/>
    </row>
    <row r="83" spans="1:26" s="113" customFormat="1" ht="15.5">
      <c r="B83" s="939" t="s">
        <v>21</v>
      </c>
      <c r="C83" s="928" t="s">
        <v>2757</v>
      </c>
      <c r="D83" s="928" t="s">
        <v>2753</v>
      </c>
      <c r="E83" s="116"/>
      <c r="F83" s="116"/>
      <c r="G83" s="117"/>
      <c r="V83"/>
      <c r="W83"/>
      <c r="X83"/>
    </row>
    <row r="84" spans="1:26" s="113" customFormat="1" ht="15.5">
      <c r="B84" s="930" t="s">
        <v>356</v>
      </c>
      <c r="C84" s="932">
        <v>1</v>
      </c>
      <c r="D84" s="932">
        <v>0</v>
      </c>
      <c r="E84" s="116"/>
      <c r="F84" s="116"/>
      <c r="G84" s="117"/>
      <c r="V84"/>
      <c r="W84"/>
      <c r="X84"/>
    </row>
    <row r="85" spans="1:26" s="113" customFormat="1" ht="15.5">
      <c r="B85" s="930" t="s">
        <v>398</v>
      </c>
      <c r="C85" s="932">
        <v>0</v>
      </c>
      <c r="D85" s="932">
        <v>1</v>
      </c>
      <c r="E85" s="116"/>
      <c r="F85" s="116"/>
      <c r="G85" s="117"/>
      <c r="K85"/>
      <c r="L85"/>
      <c r="M85"/>
      <c r="V85"/>
      <c r="W85"/>
      <c r="X85"/>
    </row>
    <row r="86" spans="1:26" s="113" customFormat="1" ht="15.5">
      <c r="B86" s="930" t="s">
        <v>401</v>
      </c>
      <c r="C86" s="932">
        <v>1</v>
      </c>
      <c r="D86" s="932">
        <v>0</v>
      </c>
      <c r="E86" s="116"/>
      <c r="F86" s="116"/>
      <c r="G86" s="117"/>
      <c r="K86"/>
      <c r="L86"/>
      <c r="M86"/>
      <c r="V86"/>
      <c r="W86"/>
      <c r="X86"/>
    </row>
    <row r="87" spans="1:26" s="113" customFormat="1" ht="15.5">
      <c r="B87" s="930" t="s">
        <v>294</v>
      </c>
      <c r="C87" s="932">
        <v>1</v>
      </c>
      <c r="D87" s="932">
        <v>0</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927" t="s">
        <v>20</v>
      </c>
      <c r="C98" s="928" t="s">
        <v>3156</v>
      </c>
      <c r="E98" s="97"/>
      <c r="P98" s="927" t="s">
        <v>20</v>
      </c>
      <c r="Q98" s="928" t="s">
        <v>3156</v>
      </c>
      <c r="S98" s="692"/>
      <c r="T98" s="692"/>
    </row>
    <row r="99" spans="2:30">
      <c r="B99" s="900" t="s">
        <v>21</v>
      </c>
      <c r="C99" s="928" t="s">
        <v>293</v>
      </c>
      <c r="E99" s="128" t="s">
        <v>293</v>
      </c>
      <c r="F99" s="129" t="s">
        <v>2954</v>
      </c>
      <c r="H99" s="101" t="s">
        <v>1915</v>
      </c>
      <c r="I99" s="100">
        <f>F100</f>
        <v>5748</v>
      </c>
      <c r="P99" s="900" t="s">
        <v>21</v>
      </c>
      <c r="Q99" s="928" t="s">
        <v>293</v>
      </c>
    </row>
    <row r="100" spans="2:30">
      <c r="B100" s="927" t="s">
        <v>34</v>
      </c>
      <c r="C100" s="928" t="s">
        <v>34</v>
      </c>
      <c r="E100" s="130" t="s">
        <v>1626</v>
      </c>
      <c r="F100" s="131">
        <f>GETPIVOTDATA("Sum of #_Functional_adult_latrines",$B$102,"Location Type","# in active camps (20:1)")</f>
        <v>5748</v>
      </c>
      <c r="H100" s="101" t="s">
        <v>2953</v>
      </c>
      <c r="I100" s="100">
        <f>GETPIVOTDATA("Sum of #_Existing_latrines",$B$102,"Location Type","# in active camps (20:1)")-I99</f>
        <v>811</v>
      </c>
      <c r="P100" s="927" t="s">
        <v>34</v>
      </c>
      <c r="Q100" s="928" t="s">
        <v>34</v>
      </c>
      <c r="S100" s="692"/>
      <c r="T100" s="692"/>
    </row>
    <row r="101" spans="2:30" s="99" customFormat="1">
      <c r="B101" s="94"/>
      <c r="C101" s="94"/>
      <c r="E101" s="130" t="s">
        <v>1912</v>
      </c>
      <c r="F101" s="131">
        <f>IF(F103-F100&lt;0,0,F103-F100)</f>
        <v>20</v>
      </c>
      <c r="G101" s="131"/>
      <c r="H101" s="101"/>
      <c r="I101" s="100"/>
      <c r="M101" s="94"/>
      <c r="P101" s="94"/>
      <c r="Q101" s="94"/>
      <c r="S101" s="94"/>
      <c r="T101" s="94"/>
      <c r="U101" s="94"/>
      <c r="V101" s="94"/>
      <c r="W101" s="94"/>
      <c r="Y101" s="94"/>
      <c r="AC101" s="94"/>
      <c r="AD101" s="94"/>
    </row>
    <row r="102" spans="2:30" ht="29">
      <c r="B102" s="928"/>
      <c r="C102" s="927" t="s">
        <v>1866</v>
      </c>
      <c r="E102" s="130" t="s">
        <v>2636</v>
      </c>
      <c r="F102" s="131">
        <f>GETPIVOTDATA("Sum of #_latrines_repaired",$B$102,"Location Type","# in active camps (20:1)")</f>
        <v>645</v>
      </c>
      <c r="H102" s="101"/>
      <c r="I102" s="100"/>
      <c r="M102"/>
      <c r="P102" s="927" t="s">
        <v>1619</v>
      </c>
      <c r="Q102" s="928" t="s">
        <v>1903</v>
      </c>
      <c r="R102" s="928" t="s">
        <v>2902</v>
      </c>
      <c r="S102" s="928" t="s">
        <v>3057</v>
      </c>
      <c r="T102"/>
      <c r="U102"/>
    </row>
    <row r="103" spans="2:30" ht="16" thickBot="1">
      <c r="B103" s="927" t="s">
        <v>1867</v>
      </c>
      <c r="C103" s="928" t="s">
        <v>3221</v>
      </c>
      <c r="E103" s="132" t="s">
        <v>1903</v>
      </c>
      <c r="F103" s="397">
        <f>GETPIVOTDATA("# latrines (target)",$B$102,"Location Type","# in active camps (20:1)")</f>
        <v>5768</v>
      </c>
      <c r="I103" s="100"/>
      <c r="M103"/>
      <c r="P103" s="930" t="s">
        <v>356</v>
      </c>
      <c r="Q103" s="935">
        <v>53</v>
      </c>
      <c r="R103" s="935">
        <v>94</v>
      </c>
      <c r="S103" s="935">
        <v>-41</v>
      </c>
      <c r="T103" s="451"/>
      <c r="U103" s="456"/>
      <c r="V103" s="393"/>
      <c r="W103" s="393"/>
      <c r="X103" s="393"/>
      <c r="Y103" s="393"/>
      <c r="Z103" s="393"/>
      <c r="AA103" s="393"/>
      <c r="AB103" s="393"/>
      <c r="AC103" s="393"/>
      <c r="AD103" s="393"/>
    </row>
    <row r="104" spans="2:30" ht="15.5">
      <c r="B104" s="930" t="s">
        <v>1903</v>
      </c>
      <c r="C104" s="935">
        <v>5768</v>
      </c>
      <c r="E104"/>
      <c r="F104"/>
      <c r="G104"/>
      <c r="M104"/>
      <c r="P104" s="930" t="s">
        <v>398</v>
      </c>
      <c r="Q104" s="935">
        <v>146</v>
      </c>
      <c r="R104" s="935">
        <v>642</v>
      </c>
      <c r="S104" s="935">
        <v>-496</v>
      </c>
      <c r="T104" s="451"/>
      <c r="U104"/>
    </row>
    <row r="105" spans="2:30" ht="15.5">
      <c r="B105" s="930" t="s">
        <v>2900</v>
      </c>
      <c r="C105" s="935">
        <v>645</v>
      </c>
      <c r="E105"/>
      <c r="F105"/>
      <c r="G105" s="673"/>
      <c r="M105"/>
      <c r="P105" s="930" t="s">
        <v>401</v>
      </c>
      <c r="Q105" s="935">
        <v>1225</v>
      </c>
      <c r="R105" s="935">
        <v>1011</v>
      </c>
      <c r="S105" s="935">
        <v>214</v>
      </c>
      <c r="T105" s="451"/>
      <c r="U105"/>
    </row>
    <row r="106" spans="2:30" ht="15.5">
      <c r="B106" s="930" t="s">
        <v>2901</v>
      </c>
      <c r="C106" s="935">
        <v>6559</v>
      </c>
      <c r="E106"/>
      <c r="F106"/>
      <c r="G106"/>
      <c r="K106"/>
      <c r="L106"/>
      <c r="M106"/>
      <c r="P106" s="930" t="s">
        <v>294</v>
      </c>
      <c r="Q106" s="935">
        <v>4344</v>
      </c>
      <c r="R106" s="935">
        <v>4001</v>
      </c>
      <c r="S106" s="935">
        <v>343</v>
      </c>
      <c r="T106" s="451"/>
      <c r="U106"/>
    </row>
    <row r="107" spans="2:30" ht="15.5">
      <c r="B107" s="930" t="s">
        <v>2902</v>
      </c>
      <c r="C107" s="935">
        <v>5748</v>
      </c>
      <c r="E107"/>
      <c r="F107"/>
      <c r="G107"/>
      <c r="J107" s="456" t="s">
        <v>20</v>
      </c>
      <c r="K107" s="451" t="s">
        <v>3156</v>
      </c>
      <c r="L107"/>
      <c r="M107"/>
      <c r="P107"/>
      <c r="Q107"/>
      <c r="S107"/>
      <c r="T107"/>
      <c r="U107"/>
    </row>
    <row r="108" spans="2:30" ht="15.5">
      <c r="B108" s="930" t="s">
        <v>2903</v>
      </c>
      <c r="C108" s="935">
        <v>1029</v>
      </c>
      <c r="E108"/>
      <c r="F108"/>
      <c r="G108"/>
      <c r="K108"/>
      <c r="L108"/>
      <c r="M108"/>
      <c r="P108"/>
      <c r="Q108"/>
      <c r="S108"/>
      <c r="T108"/>
      <c r="U108"/>
    </row>
    <row r="109" spans="2:30" ht="15.5">
      <c r="B109" s="930" t="s">
        <v>2904</v>
      </c>
      <c r="C109" s="935">
        <v>222</v>
      </c>
      <c r="E109"/>
      <c r="F109"/>
      <c r="G109"/>
      <c r="J109" s="456" t="s">
        <v>22</v>
      </c>
      <c r="K109" s="451" t="s">
        <v>2785</v>
      </c>
      <c r="L109" s="451" t="s">
        <v>2902</v>
      </c>
      <c r="M109" s="451" t="s">
        <v>2996</v>
      </c>
      <c r="P109" s="805" t="s">
        <v>22</v>
      </c>
      <c r="Q109" s="805" t="s">
        <v>1626</v>
      </c>
      <c r="R109" s="805" t="s">
        <v>1627</v>
      </c>
      <c r="S109"/>
      <c r="T109"/>
      <c r="U109"/>
    </row>
    <row r="110" spans="2:30" ht="15.5">
      <c r="C110"/>
      <c r="D110"/>
      <c r="F110"/>
      <c r="G110"/>
      <c r="J110" s="739" t="s">
        <v>356</v>
      </c>
      <c r="K110" s="736">
        <v>1067</v>
      </c>
      <c r="L110" s="736">
        <v>94</v>
      </c>
      <c r="M110" s="736">
        <v>11.351063829787234</v>
      </c>
      <c r="N110" s="119">
        <f>GETPIVOTDATA("Sum of Total PoP ",$J$109,"Township","Kyaukpyu")/GETPIVOTDATA("Sum of #_Functional_adult_latrines",$J$109,"Township","Kyaukpyu")</f>
        <v>11.351063829787234</v>
      </c>
      <c r="P110" s="806" t="s">
        <v>356</v>
      </c>
      <c r="Q110" s="819">
        <f>GETPIVOTDATA("Sum of #_Functional_adult_latrines",$P$102,"Township","Kyaukpyu")</f>
        <v>94</v>
      </c>
      <c r="R110" s="808"/>
      <c r="S110"/>
      <c r="T110"/>
      <c r="U110"/>
    </row>
    <row r="111" spans="2:30" ht="15.5">
      <c r="C111"/>
      <c r="D111"/>
      <c r="E111" s="97"/>
      <c r="F111" s="101"/>
      <c r="G111" s="101"/>
      <c r="J111" s="739" t="s">
        <v>398</v>
      </c>
      <c r="K111" s="736">
        <v>2920</v>
      </c>
      <c r="L111" s="736">
        <v>642</v>
      </c>
      <c r="M111" s="736">
        <v>4.5482866043613708</v>
      </c>
      <c r="N111" s="119">
        <f>GETPIVOTDATA("Sum of Total PoP ",$J$109,"Township","Myebon")/GETPIVOTDATA("Sum of #_Functional_adult_latrines",$J$109,"Township","Myebon")</f>
        <v>4.5482866043613708</v>
      </c>
      <c r="P111" s="806" t="s">
        <v>398</v>
      </c>
      <c r="Q111" s="819">
        <f>GETPIVOTDATA("Sum of #_Functional_adult_latrines",$P$102,"Township","Myebon")</f>
        <v>642</v>
      </c>
      <c r="R111" s="808"/>
    </row>
    <row r="112" spans="2:30" ht="15.5">
      <c r="B112" s="927" t="s">
        <v>20</v>
      </c>
      <c r="C112" s="928" t="s">
        <v>3156</v>
      </c>
      <c r="F112" s="101"/>
      <c r="G112" s="101"/>
      <c r="J112" s="739" t="s">
        <v>401</v>
      </c>
      <c r="K112" s="736">
        <v>24484</v>
      </c>
      <c r="L112" s="736">
        <v>1011</v>
      </c>
      <c r="M112" s="736">
        <v>29.043020072724261</v>
      </c>
      <c r="N112" s="119">
        <f>GETPIVOTDATA("Sum of Total PoP ",$J$109,"Township","Pauktaw")/GETPIVOTDATA("Sum of #_Functional_adult_latrines",$J$109,"Township","Pauktaw")</f>
        <v>24.217606330365975</v>
      </c>
      <c r="P112" s="806" t="s">
        <v>401</v>
      </c>
      <c r="Q112" s="819">
        <f>GETPIVOTDATA("Sum of #_Functional_adult_latrines",$P$102,"Township","Pauktaw")</f>
        <v>1011</v>
      </c>
      <c r="R112" s="819">
        <f>GETPIVOTDATA("Sum of Latrines_Gap",$P$102,"Township","Pauktaw")</f>
        <v>214</v>
      </c>
    </row>
    <row r="113" spans="1:21" ht="15.5">
      <c r="A113" s="395" t="s">
        <v>2635</v>
      </c>
      <c r="B113" s="900" t="s">
        <v>21</v>
      </c>
      <c r="C113" s="928" t="s">
        <v>293</v>
      </c>
      <c r="J113" s="739" t="s">
        <v>294</v>
      </c>
      <c r="K113" s="736">
        <v>86874</v>
      </c>
      <c r="L113" s="736">
        <v>4001</v>
      </c>
      <c r="M113" s="736">
        <v>22.092589314679135</v>
      </c>
      <c r="N113" s="119">
        <f>GETPIVOTDATA("Sum of Total PoP ",$J$109,"Township","Sittwe")/GETPIVOTDATA("Sum of #_Functional_adult_latrines",$J$109,"Township","Sittwe")</f>
        <v>21.713071732066982</v>
      </c>
      <c r="P113" s="807" t="s">
        <v>294</v>
      </c>
      <c r="Q113" s="820">
        <f>GETPIVOTDATA("Sum of #_Functional_adult_latrines",$P$102,"Township","Sittwe")</f>
        <v>4001</v>
      </c>
      <c r="R113" s="820">
        <f>GETPIVOTDATA("Sum of Latrines_Gap",$P$102,"Township","Sittwe")</f>
        <v>343</v>
      </c>
    </row>
    <row r="114" spans="1:21" ht="15.5">
      <c r="A114" s="395" t="s">
        <v>2634</v>
      </c>
      <c r="B114" s="927" t="s">
        <v>34</v>
      </c>
      <c r="C114" s="928" t="s">
        <v>34</v>
      </c>
      <c r="J114" s="739" t="s">
        <v>1621</v>
      </c>
      <c r="K114" s="736">
        <v>115345</v>
      </c>
      <c r="L114" s="736">
        <v>5748</v>
      </c>
      <c r="M114" s="736">
        <v>22.400509581108466</v>
      </c>
      <c r="Q114"/>
    </row>
    <row r="115" spans="1:21" ht="15.5">
      <c r="J115"/>
      <c r="K115"/>
      <c r="Q115"/>
    </row>
    <row r="116" spans="1:21" ht="15.5">
      <c r="B116" s="927" t="s">
        <v>1867</v>
      </c>
      <c r="C116" s="928"/>
      <c r="E116"/>
      <c r="F116" s="595" t="s">
        <v>2916</v>
      </c>
      <c r="G116" s="596" t="s">
        <v>2914</v>
      </c>
      <c r="H116" s="597" t="s">
        <v>2915</v>
      </c>
      <c r="O116"/>
      <c r="P116"/>
      <c r="Q116"/>
    </row>
    <row r="117" spans="1:21" ht="15.5">
      <c r="B117" s="930" t="s">
        <v>2912</v>
      </c>
      <c r="C117" s="932">
        <v>0.99428571428571444</v>
      </c>
      <c r="E117"/>
      <c r="F117" s="598" t="s">
        <v>2917</v>
      </c>
      <c r="G117" s="599">
        <f>GETPIVOTDATA("Average of %_of_Men_that_feel_safe_to_use_latrines_when_they_need_to_(or_at_day/night)'?",$B$116)</f>
        <v>0.99428571428571444</v>
      </c>
      <c r="H117" s="599">
        <f>1-G117</f>
        <v>5.7142857142855608E-3</v>
      </c>
      <c r="J117" s="177" t="s">
        <v>22</v>
      </c>
      <c r="K117" s="177" t="s">
        <v>2785</v>
      </c>
      <c r="L117" s="177" t="s">
        <v>2902</v>
      </c>
      <c r="M117" s="177" t="s">
        <v>2996</v>
      </c>
      <c r="O117"/>
      <c r="P117" s="927" t="s">
        <v>20</v>
      </c>
      <c r="Q117" s="928" t="s">
        <v>3156</v>
      </c>
      <c r="S117" s="692"/>
    </row>
    <row r="118" spans="1:21" ht="15.5">
      <c r="B118" s="930" t="s">
        <v>2913</v>
      </c>
      <c r="C118" s="932">
        <v>0.96750000000000003</v>
      </c>
      <c r="F118" s="598" t="s">
        <v>2918</v>
      </c>
      <c r="G118" s="599">
        <f>GETPIVOTDATA("Average of %_of_Women_that_feel_safe_to_use_latrines_when_they_need_to_(or_at_day/night)?",$B$116)</f>
        <v>0.96750000000000003</v>
      </c>
      <c r="H118" s="599">
        <f t="shared" ref="H118:H119" si="0">1-G118</f>
        <v>3.2499999999999973E-2</v>
      </c>
      <c r="I118" s="393"/>
      <c r="J118" s="739" t="s">
        <v>356</v>
      </c>
      <c r="K118" s="736">
        <f>GETPIVOTDATA("Sum of Total PoP ",$J$109,"Township","Kyaukpyu")</f>
        <v>1067</v>
      </c>
      <c r="L118" s="736">
        <f>GETPIVOTDATA("Sum of #_Functional_adult_latrines",$J$109,"Township","Kyaukpyu")</f>
        <v>94</v>
      </c>
      <c r="M118" s="119">
        <f>K118/L118</f>
        <v>11.351063829787234</v>
      </c>
      <c r="N118" s="393"/>
      <c r="O118"/>
      <c r="P118" s="900" t="s">
        <v>21</v>
      </c>
      <c r="Q118" s="928" t="s">
        <v>293</v>
      </c>
    </row>
    <row r="119" spans="1:21" ht="15.5">
      <c r="B119" s="930" t="s">
        <v>3129</v>
      </c>
      <c r="C119" s="932">
        <v>0.79374999999999996</v>
      </c>
      <c r="F119" s="598" t="s">
        <v>3130</v>
      </c>
      <c r="G119" s="599">
        <f>GETPIVOTDATA("Average of %_of_Children_that_feel_safe_to_use_latrines_when_they_need_to_(or_at_day/night)?",$B$116)</f>
        <v>0.79374999999999996</v>
      </c>
      <c r="H119" s="599">
        <f t="shared" si="0"/>
        <v>0.20625000000000004</v>
      </c>
      <c r="J119" s="739" t="s">
        <v>398</v>
      </c>
      <c r="K119" s="736">
        <f>GETPIVOTDATA("Sum of Total PoP ",$J$109,"Township","Myebon")</f>
        <v>2920</v>
      </c>
      <c r="L119" s="736">
        <f>GETPIVOTDATA("Sum of #_Functional_adult_latrines",$J$109,"Township","Myebon")</f>
        <v>642</v>
      </c>
      <c r="M119" s="119">
        <f t="shared" ref="M119:M121" si="1">K119/L119</f>
        <v>4.5482866043613708</v>
      </c>
      <c r="O119"/>
      <c r="P119" s="927" t="s">
        <v>34</v>
      </c>
      <c r="Q119" s="928" t="s">
        <v>34</v>
      </c>
      <c r="S119" s="692"/>
    </row>
    <row r="120" spans="1:21" ht="15.5">
      <c r="B120"/>
      <c r="C120"/>
      <c r="E120" s="451"/>
      <c r="J120" s="739" t="s">
        <v>401</v>
      </c>
      <c r="K120" s="736">
        <f>GETPIVOTDATA("Sum of Total PoP ",$J$109,"Township","Pauktaw")</f>
        <v>24484</v>
      </c>
      <c r="L120" s="736">
        <f>GETPIVOTDATA("Sum of #_Functional_adult_latrines",$J$109,"Township","Pauktaw")</f>
        <v>1011</v>
      </c>
      <c r="M120" s="119">
        <f t="shared" si="1"/>
        <v>24.217606330365975</v>
      </c>
      <c r="O120"/>
      <c r="R120" s="99"/>
    </row>
    <row r="121" spans="1:21" ht="15.5">
      <c r="B121" s="101"/>
      <c r="C121"/>
      <c r="D121"/>
      <c r="E121" s="134"/>
      <c r="J121" s="739" t="s">
        <v>294</v>
      </c>
      <c r="K121" s="736">
        <f>GETPIVOTDATA("Sum of Total PoP ",$J$109,"Township","Sittwe")</f>
        <v>86874</v>
      </c>
      <c r="L121" s="736">
        <f>GETPIVOTDATA("Sum of #_Functional_adult_latrines",$J$109,"Township","Sittwe")</f>
        <v>4001</v>
      </c>
      <c r="M121" s="119">
        <f t="shared" si="1"/>
        <v>21.713071732066982</v>
      </c>
      <c r="O121"/>
      <c r="P121" s="927" t="s">
        <v>1619</v>
      </c>
      <c r="Q121" s="928" t="s">
        <v>3058</v>
      </c>
      <c r="R121" s="928" t="s">
        <v>2944</v>
      </c>
      <c r="S121"/>
      <c r="T121" s="393"/>
      <c r="U121" s="393"/>
    </row>
    <row r="122" spans="1:21" ht="15.5">
      <c r="B122" s="101"/>
      <c r="C122"/>
      <c r="D122"/>
      <c r="E122" s="134"/>
      <c r="O122"/>
      <c r="P122" s="930" t="s">
        <v>356</v>
      </c>
      <c r="Q122" s="935">
        <v>53</v>
      </c>
      <c r="R122" s="935">
        <v>94</v>
      </c>
      <c r="S122"/>
      <c r="T122" s="134"/>
      <c r="U122" s="134"/>
    </row>
    <row r="123" spans="1:21" ht="15.5">
      <c r="B123" s="101"/>
      <c r="C123"/>
      <c r="D123"/>
      <c r="E123" s="98"/>
      <c r="J123" s="101"/>
      <c r="O123"/>
      <c r="P123" s="930" t="s">
        <v>398</v>
      </c>
      <c r="Q123" s="935">
        <v>146</v>
      </c>
      <c r="R123" s="935">
        <v>642</v>
      </c>
      <c r="S123"/>
    </row>
    <row r="124" spans="1:21" ht="15.5">
      <c r="B124" s="101"/>
      <c r="C124" s="96"/>
      <c r="D124" s="98"/>
      <c r="E124" s="98"/>
      <c r="J124" s="101"/>
      <c r="O124"/>
      <c r="P124" s="930" t="s">
        <v>401</v>
      </c>
      <c r="Q124" s="935">
        <v>1225</v>
      </c>
      <c r="R124" s="935">
        <v>1011</v>
      </c>
      <c r="S124"/>
    </row>
    <row r="125" spans="1:21" ht="15.5">
      <c r="B125" s="101"/>
      <c r="C125" s="96"/>
      <c r="D125" s="98"/>
      <c r="E125" s="98"/>
      <c r="F125" s="101"/>
      <c r="G125" s="101"/>
      <c r="J125" s="101"/>
      <c r="O125"/>
      <c r="P125" s="930" t="s">
        <v>294</v>
      </c>
      <c r="Q125" s="935">
        <v>4344</v>
      </c>
      <c r="R125" s="935">
        <v>4001</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927" t="s">
        <v>20</v>
      </c>
      <c r="C129" s="928" t="s">
        <v>3156</v>
      </c>
      <c r="E129" s="101"/>
      <c r="F129" s="927" t="s">
        <v>20</v>
      </c>
      <c r="G129" s="928" t="s">
        <v>3156</v>
      </c>
      <c r="Q129" s="101"/>
      <c r="R129" s="101"/>
      <c r="S129" s="101"/>
    </row>
    <row r="130" spans="1:21">
      <c r="A130" s="101"/>
      <c r="B130" s="927" t="s">
        <v>34</v>
      </c>
      <c r="C130" s="928" t="s">
        <v>34</v>
      </c>
      <c r="E130" s="101"/>
      <c r="F130" s="927" t="s">
        <v>34</v>
      </c>
      <c r="G130" s="928" t="s">
        <v>34</v>
      </c>
      <c r="Q130" s="101"/>
      <c r="R130" s="101"/>
      <c r="S130" s="101"/>
    </row>
    <row r="131" spans="1:21">
      <c r="A131" s="101"/>
      <c r="B131" s="927" t="s">
        <v>123</v>
      </c>
      <c r="C131" s="928" t="s">
        <v>43</v>
      </c>
      <c r="E131" s="101"/>
      <c r="Q131" s="101"/>
      <c r="R131" s="101"/>
      <c r="S131" s="101"/>
    </row>
    <row r="132" spans="1:21">
      <c r="A132" s="101"/>
      <c r="E132" s="101"/>
      <c r="F132" s="928" t="s">
        <v>2922</v>
      </c>
      <c r="G132" s="928" t="s">
        <v>2903</v>
      </c>
      <c r="H132" s="393"/>
      <c r="N132" s="393"/>
      <c r="O132" s="393"/>
      <c r="P132" s="393"/>
      <c r="Q132" s="603"/>
      <c r="R132" s="603"/>
      <c r="S132" s="603"/>
      <c r="T132" s="393"/>
      <c r="U132" s="393"/>
    </row>
    <row r="133" spans="1:21" ht="15.5">
      <c r="A133" s="101"/>
      <c r="B133" s="927" t="s">
        <v>2921</v>
      </c>
      <c r="C133" s="927" t="s">
        <v>1866</v>
      </c>
      <c r="D133" s="928"/>
      <c r="E133"/>
      <c r="F133" s="931">
        <v>9028</v>
      </c>
      <c r="G133" s="931">
        <v>1029</v>
      </c>
    </row>
    <row r="134" spans="1:21" ht="15.5">
      <c r="A134" s="101"/>
      <c r="B134" s="927" t="s">
        <v>21</v>
      </c>
      <c r="C134" s="928" t="s">
        <v>41</v>
      </c>
      <c r="D134" s="928" t="s">
        <v>125</v>
      </c>
      <c r="E134"/>
      <c r="F134" s="393"/>
      <c r="G134" s="393"/>
      <c r="H134" s="393"/>
      <c r="I134" s="393"/>
      <c r="N134" s="393"/>
      <c r="O134" s="393"/>
      <c r="P134" s="393"/>
      <c r="Q134" s="393"/>
      <c r="R134" s="393"/>
      <c r="S134" s="393"/>
    </row>
    <row r="135" spans="1:21" ht="15.5">
      <c r="A135" s="101"/>
      <c r="B135" s="930" t="s">
        <v>293</v>
      </c>
      <c r="C135" s="931">
        <v>20</v>
      </c>
      <c r="D135" s="931">
        <v>1</v>
      </c>
      <c r="E135"/>
      <c r="F135" s="594" t="s">
        <v>2923</v>
      </c>
      <c r="G135" s="604" t="s">
        <v>2925</v>
      </c>
      <c r="H135" s="604" t="s">
        <v>2924</v>
      </c>
    </row>
    <row r="136" spans="1:21" ht="15.5">
      <c r="A136" s="101"/>
      <c r="B136"/>
      <c r="C136"/>
      <c r="D136"/>
      <c r="E136" s="101"/>
      <c r="F136" s="600">
        <f>GETPIVOTDATA("Sum of # of Total_People with disabilities",$F$132)</f>
        <v>9028</v>
      </c>
      <c r="G136" s="602">
        <f>GETPIVOTDATA("Sum of #_of_PWD_with_adapted_sanitation_option",$F$132)</f>
        <v>1029</v>
      </c>
      <c r="H136" s="602">
        <f>F136-G136</f>
        <v>7999</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9" t="s">
        <v>41</v>
      </c>
      <c r="D139" s="601" t="s">
        <v>125</v>
      </c>
      <c r="E139" s="101"/>
      <c r="F139" s="101"/>
      <c r="G139"/>
    </row>
    <row r="140" spans="1:21">
      <c r="A140" s="101"/>
      <c r="B140" s="135" t="s">
        <v>293</v>
      </c>
      <c r="C140" s="136">
        <f>GETPIVOTDATA("Is_there_an_effective_solid_waste_management_system_in_place?",$B$133,"State","Rakhine","Is_there_an_effective_solid_waste_management_system_in_place?","Yes")</f>
        <v>20</v>
      </c>
      <c r="D140" s="137">
        <v>0</v>
      </c>
      <c r="E140" s="101"/>
      <c r="F140" s="101"/>
      <c r="G140" s="101"/>
      <c r="Q140" s="101"/>
      <c r="R140" s="101"/>
      <c r="S140" s="101"/>
    </row>
    <row r="141" spans="1:21">
      <c r="A141" s="101"/>
      <c r="B141" s="101"/>
      <c r="C141" s="101"/>
      <c r="D141" s="101"/>
      <c r="E141" s="101"/>
      <c r="F141" s="101"/>
    </row>
    <row r="142" spans="1:21">
      <c r="B142" s="133"/>
      <c r="C142" s="134"/>
      <c r="D142" s="134"/>
      <c r="E142" s="134"/>
      <c r="F142" s="134"/>
    </row>
    <row r="147" spans="2:14" ht="15.5">
      <c r="E147"/>
      <c r="F147"/>
      <c r="G147"/>
      <c r="H147" s="101"/>
      <c r="I147" s="101"/>
      <c r="J147" s="101"/>
      <c r="K147" s="101"/>
    </row>
    <row r="148" spans="2:14" ht="15.5">
      <c r="E148"/>
      <c r="F148"/>
      <c r="G148"/>
      <c r="H148" s="101"/>
      <c r="I148" s="101"/>
      <c r="J148" s="101"/>
      <c r="K148" s="101"/>
    </row>
    <row r="149" spans="2:14" ht="15.5">
      <c r="E149"/>
      <c r="F149"/>
      <c r="G149"/>
      <c r="H149" s="101"/>
      <c r="I149" s="101"/>
      <c r="J149" s="101"/>
      <c r="K149" s="101"/>
    </row>
    <row r="150" spans="2:14" ht="15.5">
      <c r="E150"/>
      <c r="F150"/>
      <c r="G150"/>
      <c r="H150" s="101"/>
      <c r="I150" s="101"/>
      <c r="J150" s="101"/>
      <c r="K150" s="101"/>
    </row>
    <row r="151" spans="2:14" ht="15.5">
      <c r="E151"/>
      <c r="F151"/>
      <c r="G151"/>
      <c r="H151" s="101"/>
      <c r="I151" s="101"/>
      <c r="J151" s="101"/>
      <c r="K151" s="101"/>
    </row>
    <row r="152" spans="2:14">
      <c r="E152" s="101"/>
      <c r="F152" s="101"/>
      <c r="G152" s="101"/>
      <c r="H152" s="101"/>
      <c r="I152" s="101"/>
    </row>
    <row r="156" spans="2:14">
      <c r="J156" s="827"/>
      <c r="K156" s="827"/>
    </row>
    <row r="157" spans="2:14" ht="15.5">
      <c r="B157" s="451"/>
      <c r="C157" s="451"/>
      <c r="D157" s="451"/>
      <c r="E157" s="451"/>
      <c r="J157" s="97"/>
      <c r="K157" s="97"/>
    </row>
    <row r="158" spans="2:14" ht="15.5">
      <c r="B158" s="451"/>
      <c r="C158" s="451"/>
      <c r="D158" s="451"/>
      <c r="E158" s="451"/>
      <c r="J158"/>
      <c r="K158"/>
      <c r="L158"/>
      <c r="M158"/>
    </row>
    <row r="159" spans="2:14" ht="15.5">
      <c r="B159" s="927" t="s">
        <v>20</v>
      </c>
      <c r="C159" s="928" t="s">
        <v>3156</v>
      </c>
      <c r="D159" s="101"/>
      <c r="E159" s="451"/>
      <c r="J159"/>
      <c r="K159"/>
      <c r="L159"/>
      <c r="M159"/>
      <c r="N159" s="115"/>
    </row>
    <row r="160" spans="2:14" ht="15.5">
      <c r="B160" s="927" t="s">
        <v>34</v>
      </c>
      <c r="C160" s="928" t="s">
        <v>34</v>
      </c>
      <c r="D160" s="101"/>
      <c r="E160" s="451"/>
      <c r="J160"/>
      <c r="K160"/>
      <c r="L160"/>
      <c r="M160"/>
    </row>
    <row r="161" spans="2:14" ht="15.5">
      <c r="B161" s="902" t="s">
        <v>21</v>
      </c>
      <c r="C161" s="928" t="s">
        <v>293</v>
      </c>
      <c r="D161" s="101"/>
      <c r="E161" s="451"/>
      <c r="J161"/>
      <c r="K161"/>
      <c r="L161"/>
      <c r="M161"/>
    </row>
    <row r="162" spans="2:14" ht="15.5">
      <c r="B162" s="394"/>
      <c r="C162" s="101"/>
      <c r="D162" s="101"/>
      <c r="E162" s="451"/>
      <c r="J162"/>
      <c r="K162"/>
      <c r="L162"/>
      <c r="M162"/>
    </row>
    <row r="163" spans="2:14" ht="15.5">
      <c r="B163" s="939" t="s">
        <v>21</v>
      </c>
      <c r="C163" s="928" t="s">
        <v>2758</v>
      </c>
      <c r="D163" s="928" t="s">
        <v>2759</v>
      </c>
      <c r="E163" s="451"/>
      <c r="J163"/>
      <c r="K163"/>
      <c r="L163"/>
      <c r="M163"/>
    </row>
    <row r="164" spans="2:14" ht="15.5">
      <c r="B164" s="930" t="s">
        <v>356</v>
      </c>
      <c r="C164" s="932">
        <v>1</v>
      </c>
      <c r="D164" s="932">
        <v>0</v>
      </c>
      <c r="E164" s="451"/>
      <c r="J164"/>
      <c r="K164"/>
      <c r="L164"/>
      <c r="M164"/>
    </row>
    <row r="165" spans="2:14" ht="15.5">
      <c r="B165" s="930" t="s">
        <v>398</v>
      </c>
      <c r="C165" s="932">
        <v>1</v>
      </c>
      <c r="D165" s="932">
        <v>0</v>
      </c>
      <c r="E165" s="451"/>
      <c r="J165"/>
      <c r="K165"/>
      <c r="L165"/>
      <c r="M165"/>
    </row>
    <row r="166" spans="2:14" ht="15.5">
      <c r="B166" s="930" t="s">
        <v>401</v>
      </c>
      <c r="C166" s="932">
        <v>0.7312939062244731</v>
      </c>
      <c r="D166" s="932">
        <v>0.2687060937755269</v>
      </c>
      <c r="E166" s="451"/>
      <c r="J166"/>
      <c r="K166"/>
      <c r="L166"/>
      <c r="M166"/>
    </row>
    <row r="167" spans="2:14" ht="15.5">
      <c r="B167" s="930" t="s">
        <v>294</v>
      </c>
      <c r="C167" s="932">
        <v>0.87436977691829543</v>
      </c>
      <c r="D167" s="932">
        <v>0.12563022308170457</v>
      </c>
      <c r="E167" s="451"/>
      <c r="J167"/>
      <c r="K167"/>
      <c r="L167"/>
      <c r="M167"/>
    </row>
    <row r="168" spans="2:14" ht="15.5">
      <c r="B168"/>
      <c r="C168"/>
      <c r="D168"/>
      <c r="E168" s="451"/>
      <c r="J168"/>
      <c r="K168"/>
      <c r="L168"/>
      <c r="M168"/>
    </row>
    <row r="169" spans="2:14" ht="15.5">
      <c r="B169" s="451"/>
      <c r="C169" s="451"/>
      <c r="D169" s="451"/>
      <c r="E169" s="451"/>
      <c r="J169"/>
      <c r="K169"/>
      <c r="L169"/>
      <c r="M169"/>
    </row>
    <row r="170" spans="2:14" ht="15.5">
      <c r="B170" s="451"/>
      <c r="C170" s="451"/>
      <c r="D170" s="451"/>
      <c r="E170" s="451"/>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937" t="s">
        <v>34</v>
      </c>
      <c r="C176" s="932" t="s">
        <v>34</v>
      </c>
      <c r="D176"/>
      <c r="J176"/>
      <c r="K176"/>
      <c r="L176"/>
      <c r="M176"/>
      <c r="N176"/>
    </row>
    <row r="177" spans="1:26" ht="15.5">
      <c r="B177" s="97"/>
      <c r="C177" s="97"/>
      <c r="D177"/>
      <c r="J177"/>
      <c r="K177"/>
      <c r="L177"/>
      <c r="M177"/>
      <c r="N177"/>
    </row>
    <row r="178" spans="1:26" ht="15.5">
      <c r="B178" s="937" t="s">
        <v>21</v>
      </c>
      <c r="C178" s="932" t="s">
        <v>2904</v>
      </c>
      <c r="D178" s="936" t="s">
        <v>3131</v>
      </c>
      <c r="E178" s="936" t="s">
        <v>2900</v>
      </c>
      <c r="F178" s="393"/>
      <c r="G178" s="393"/>
      <c r="H178" s="393"/>
      <c r="I178" s="393"/>
      <c r="J178"/>
      <c r="K178"/>
      <c r="L178"/>
      <c r="M178"/>
      <c r="N178" s="451"/>
    </row>
    <row r="179" spans="1:26" ht="15.5">
      <c r="B179" s="938" t="s">
        <v>3156</v>
      </c>
      <c r="C179" s="935">
        <v>222</v>
      </c>
      <c r="D179" s="936">
        <v>759</v>
      </c>
      <c r="E179" s="936">
        <v>645</v>
      </c>
      <c r="J179"/>
      <c r="K179"/>
      <c r="L179"/>
      <c r="M179"/>
      <c r="N179"/>
    </row>
    <row r="180" spans="1:26" ht="15.5">
      <c r="B180"/>
      <c r="C180"/>
      <c r="D180"/>
      <c r="E180"/>
      <c r="J180"/>
      <c r="K180"/>
      <c r="L180"/>
      <c r="M180"/>
      <c r="N180"/>
    </row>
    <row r="181" spans="1:26" ht="15.5">
      <c r="B181"/>
      <c r="C181"/>
      <c r="D181"/>
      <c r="E181"/>
      <c r="M181"/>
      <c r="N181"/>
    </row>
    <row r="182" spans="1:26" ht="15.5">
      <c r="B182"/>
      <c r="C182"/>
      <c r="D182"/>
      <c r="E182"/>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B189" s="927" t="s">
        <v>20</v>
      </c>
      <c r="C189" s="928" t="s">
        <v>3156</v>
      </c>
      <c r="D189" s="101"/>
      <c r="J189" s="118" t="s">
        <v>293</v>
      </c>
    </row>
    <row r="190" spans="1:26">
      <c r="B190" s="927" t="s">
        <v>34</v>
      </c>
      <c r="C190" s="928" t="s">
        <v>34</v>
      </c>
      <c r="I190" s="738" t="s">
        <v>1918</v>
      </c>
      <c r="J190" s="94">
        <f>GETPIVOTDATA("Sum of Total PoP ",$B$193,"State","Rakhine")</f>
        <v>115345</v>
      </c>
      <c r="K190" s="94">
        <f>J190*30%</f>
        <v>34603.5</v>
      </c>
      <c r="M190" s="98"/>
    </row>
    <row r="191" spans="1:26">
      <c r="B191" s="927" t="s">
        <v>123</v>
      </c>
      <c r="C191" s="928" t="s">
        <v>43</v>
      </c>
      <c r="D191" s="101"/>
    </row>
    <row r="192" spans="1:26">
      <c r="J192" s="118" t="s">
        <v>34</v>
      </c>
      <c r="K192" s="118" t="s">
        <v>1627</v>
      </c>
    </row>
    <row r="193" spans="2:18">
      <c r="B193" s="927" t="s">
        <v>1619</v>
      </c>
      <c r="C193" s="928" t="s">
        <v>2785</v>
      </c>
      <c r="D193" s="928" t="s">
        <v>1897</v>
      </c>
      <c r="E193" s="928" t="s">
        <v>2926</v>
      </c>
      <c r="F193" s="928" t="s">
        <v>3050</v>
      </c>
      <c r="G193" s="928" t="s">
        <v>3051</v>
      </c>
      <c r="I193" s="738" t="s">
        <v>2993</v>
      </c>
      <c r="J193" s="119">
        <f>GETPIVOTDATA("Sum of # people reached by regular dedicated hygiene promotion_5",$B$193,"State","Rakhine")</f>
        <v>26581</v>
      </c>
      <c r="K193" s="119">
        <f>$J$190-J193</f>
        <v>88764</v>
      </c>
    </row>
    <row r="194" spans="2:18">
      <c r="B194" s="930" t="s">
        <v>293</v>
      </c>
      <c r="C194" s="931">
        <v>115345</v>
      </c>
      <c r="D194" s="931">
        <v>26581</v>
      </c>
      <c r="E194" s="931">
        <v>19676</v>
      </c>
      <c r="F194" s="931">
        <v>10302</v>
      </c>
      <c r="G194" s="931">
        <v>23081</v>
      </c>
      <c r="I194" s="793" t="s">
        <v>3049</v>
      </c>
      <c r="J194" s="119">
        <f>GETPIVOTDATA("Sum of #_of_affected_households_receiving_a_sufficient_quantity_of_soap",$B$193,"State","Rakhine")</f>
        <v>10302</v>
      </c>
      <c r="K194" s="119">
        <f>GETPIVOTDATA("Sum of Total HH",$B$193,"State","Rakhine")-J194</f>
        <v>12779</v>
      </c>
    </row>
    <row r="195" spans="2:18">
      <c r="B195" s="930" t="s">
        <v>1621</v>
      </c>
      <c r="C195" s="931">
        <v>115345</v>
      </c>
      <c r="D195" s="931">
        <v>26581</v>
      </c>
      <c r="E195" s="931">
        <v>19676</v>
      </c>
      <c r="F195" s="931">
        <v>10302</v>
      </c>
      <c r="G195" s="931">
        <v>23081</v>
      </c>
      <c r="I195" s="738" t="s">
        <v>2991</v>
      </c>
      <c r="J195" s="119">
        <f>GETPIVOTDATA("Sum of #_of_affected_women_and_girls_receiving_a_sufficient_quantity_of_sanitary_pads",$B$193,"State","Rakhine")</f>
        <v>19676</v>
      </c>
      <c r="K195" s="119">
        <f>IF(K190-J195&lt;0,0,K190-J195)</f>
        <v>14927.5</v>
      </c>
    </row>
    <row r="196" spans="2:18" ht="15.5">
      <c r="B196"/>
      <c r="C196"/>
      <c r="D196"/>
      <c r="E196"/>
      <c r="F196"/>
      <c r="G196"/>
    </row>
    <row r="197" spans="2:18" ht="15.5">
      <c r="B197"/>
      <c r="C197"/>
      <c r="D197"/>
      <c r="E197"/>
      <c r="F197"/>
      <c r="G197"/>
    </row>
    <row r="198" spans="2:18" ht="15.5">
      <c r="B198"/>
      <c r="C198"/>
      <c r="D198"/>
      <c r="E198"/>
      <c r="F198"/>
      <c r="G198"/>
      <c r="Q198" s="103"/>
      <c r="R198" s="103"/>
    </row>
    <row r="199" spans="2:18">
      <c r="B199" s="101"/>
      <c r="C199" s="101"/>
      <c r="D199" s="101"/>
    </row>
    <row r="200" spans="2:18">
      <c r="B200" s="101"/>
      <c r="C200" s="101"/>
      <c r="D200" s="101"/>
    </row>
    <row r="201" spans="2:18">
      <c r="B201" s="101"/>
      <c r="C201" s="101"/>
      <c r="D201" s="101"/>
    </row>
    <row r="202" spans="2:18" ht="15.5">
      <c r="B202" s="451"/>
      <c r="C202" s="451"/>
      <c r="D202" s="451"/>
      <c r="E202" s="451"/>
      <c r="H202" s="115"/>
      <c r="I202" s="115"/>
      <c r="J202" s="115"/>
      <c r="K202" s="115"/>
      <c r="L202" s="115"/>
    </row>
    <row r="203" spans="2:18" ht="15.5">
      <c r="B203" s="350"/>
      <c r="C203" s="350"/>
      <c r="D203" s="350"/>
      <c r="E203" s="350"/>
      <c r="F203" s="350"/>
      <c r="G203" s="350"/>
      <c r="K203" s="451"/>
      <c r="L203" s="451"/>
      <c r="M203" s="451"/>
    </row>
    <row r="204" spans="2:18" ht="15.5">
      <c r="B204"/>
      <c r="C204"/>
      <c r="D204" s="115"/>
      <c r="K204" s="451"/>
      <c r="L204" s="451"/>
      <c r="M204" s="451"/>
    </row>
    <row r="205" spans="2:18" ht="15.5">
      <c r="B205" s="927" t="s">
        <v>20</v>
      </c>
      <c r="C205" s="928" t="s">
        <v>3156</v>
      </c>
      <c r="D205" s="101"/>
      <c r="K205" s="451"/>
      <c r="L205" s="451"/>
      <c r="M205" s="451"/>
    </row>
    <row r="206" spans="2:18" ht="15.5">
      <c r="B206" s="927" t="s">
        <v>34</v>
      </c>
      <c r="C206" s="928" t="s">
        <v>34</v>
      </c>
      <c r="D206" s="101"/>
      <c r="K206" s="451"/>
      <c r="L206" s="451"/>
      <c r="M206" s="451"/>
    </row>
    <row r="207" spans="2:18" ht="15.5">
      <c r="B207" s="902" t="s">
        <v>21</v>
      </c>
      <c r="C207" s="928" t="s">
        <v>293</v>
      </c>
      <c r="D207" s="101"/>
      <c r="K207" s="451"/>
      <c r="L207" s="451"/>
      <c r="M207" s="451"/>
    </row>
    <row r="208" spans="2:18" ht="15.5">
      <c r="B208" s="394"/>
      <c r="C208" s="101"/>
      <c r="D208" s="101"/>
      <c r="K208" s="451"/>
      <c r="L208" s="451"/>
      <c r="M208" s="451"/>
    </row>
    <row r="209" spans="2:25" ht="15.5">
      <c r="B209" s="939" t="s">
        <v>21</v>
      </c>
      <c r="C209" s="928" t="s">
        <v>2760</v>
      </c>
      <c r="D209" s="928" t="s">
        <v>2756</v>
      </c>
      <c r="K209" s="451"/>
      <c r="L209" s="451"/>
      <c r="M209" s="451"/>
    </row>
    <row r="210" spans="2:25" ht="15.5">
      <c r="B210" s="930" t="s">
        <v>356</v>
      </c>
      <c r="C210" s="932">
        <v>1</v>
      </c>
      <c r="D210" s="932">
        <v>0</v>
      </c>
      <c r="K210" s="451"/>
      <c r="L210" s="451"/>
      <c r="M210" s="451"/>
    </row>
    <row r="211" spans="2:25" ht="15.5">
      <c r="B211" s="930" t="s">
        <v>398</v>
      </c>
      <c r="C211" s="932">
        <v>0</v>
      </c>
      <c r="D211" s="932">
        <v>1</v>
      </c>
      <c r="K211" s="451"/>
      <c r="L211" s="451"/>
      <c r="M211" s="451"/>
    </row>
    <row r="212" spans="2:25" ht="15.5">
      <c r="B212" s="930" t="s">
        <v>401</v>
      </c>
      <c r="C212" s="932">
        <v>1</v>
      </c>
      <c r="D212" s="932">
        <v>0</v>
      </c>
      <c r="K212" s="451"/>
      <c r="L212" s="451"/>
      <c r="M212" s="451"/>
    </row>
    <row r="213" spans="2:25" ht="15.5">
      <c r="B213" s="930" t="s">
        <v>294</v>
      </c>
      <c r="C213" s="932">
        <v>0.28895872182701382</v>
      </c>
      <c r="D213" s="932">
        <v>0.71104127817298624</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6"/>
      <c r="P218" s="746"/>
    </row>
    <row r="219" spans="2:25" ht="15.5">
      <c r="B219" s="927" t="s">
        <v>20</v>
      </c>
      <c r="C219" s="928" t="s">
        <v>3156</v>
      </c>
      <c r="K219"/>
      <c r="L219"/>
      <c r="M219"/>
      <c r="O219" s="746"/>
      <c r="P219" s="746"/>
      <c r="Q219" s="101"/>
    </row>
    <row r="220" spans="2:25" ht="15.5">
      <c r="B220" s="927" t="s">
        <v>34</v>
      </c>
      <c r="C220" s="928" t="s">
        <v>34</v>
      </c>
      <c r="D220" s="101"/>
      <c r="K220"/>
      <c r="L220"/>
      <c r="M220"/>
    </row>
    <row r="221" spans="2:25" ht="15.5">
      <c r="K221"/>
      <c r="L221"/>
      <c r="M221"/>
      <c r="O221"/>
      <c r="P221"/>
      <c r="Q221"/>
      <c r="R221"/>
      <c r="T221" s="393"/>
      <c r="U221" s="393"/>
      <c r="V221" s="393"/>
      <c r="W221" s="745"/>
      <c r="X221" s="745"/>
      <c r="Y221" s="393"/>
    </row>
    <row r="222" spans="2:25" ht="15.5">
      <c r="B222" s="928" t="s">
        <v>2927</v>
      </c>
      <c r="C222" s="928" t="s">
        <v>2928</v>
      </c>
      <c r="D222"/>
      <c r="K222"/>
      <c r="L222"/>
      <c r="M222"/>
      <c r="O222"/>
      <c r="P222"/>
      <c r="Q222"/>
      <c r="R222"/>
      <c r="W222" s="746"/>
      <c r="X222" s="746"/>
      <c r="Y222" s="101"/>
    </row>
    <row r="223" spans="2:25" ht="15.5">
      <c r="B223" s="932">
        <v>0.76400000000000001</v>
      </c>
      <c r="C223" s="932">
        <v>0.88875000000000004</v>
      </c>
      <c r="D223"/>
      <c r="O223"/>
      <c r="P223"/>
      <c r="Q223"/>
      <c r="R223"/>
    </row>
    <row r="224" spans="2:25" ht="16" thickBot="1">
      <c r="B224"/>
      <c r="C224"/>
      <c r="D224"/>
      <c r="J224" s="451"/>
      <c r="K224" s="451"/>
      <c r="L224" s="451"/>
      <c r="M224" s="451"/>
      <c r="O224"/>
      <c r="P224"/>
      <c r="Q224"/>
      <c r="R224"/>
      <c r="W224"/>
      <c r="X224"/>
      <c r="Y224"/>
    </row>
    <row r="225" spans="2:26" ht="15.5">
      <c r="B225" s="606"/>
      <c r="C225" s="607" t="s">
        <v>41</v>
      </c>
      <c r="D225" s="608" t="s">
        <v>125</v>
      </c>
      <c r="J225" s="451"/>
      <c r="K225" s="451"/>
      <c r="L225" s="451"/>
      <c r="M225" s="451"/>
      <c r="O225"/>
      <c r="P225"/>
      <c r="Q225"/>
      <c r="R225"/>
      <c r="W225"/>
      <c r="X225"/>
      <c r="Y225"/>
    </row>
    <row r="226" spans="2:26" ht="15.5">
      <c r="B226" s="609" t="s">
        <v>2929</v>
      </c>
      <c r="C226" s="605">
        <f>GETPIVOTDATA("Average of %_of_women_and_girls_who_report_that_they_have_an_adequate_system_for_disposing_of_used_sanitary_pads",$B$222)</f>
        <v>0.76400000000000001</v>
      </c>
      <c r="D226" s="605">
        <f>1-C226</f>
        <v>0.23599999999999999</v>
      </c>
      <c r="J226" s="451"/>
      <c r="K226" s="451"/>
      <c r="L226" s="451"/>
      <c r="M226" s="451"/>
      <c r="O226"/>
      <c r="P226"/>
      <c r="Q226"/>
      <c r="R226"/>
      <c r="T226"/>
    </row>
    <row r="227" spans="2:26" ht="15.5">
      <c r="B227" s="609" t="s">
        <v>3132</v>
      </c>
      <c r="C227" s="605">
        <f>GETPIVOTDATA("Average of %_of_affected_people_who_report_handwashing_at_key_times",$B$222)</f>
        <v>0.88875000000000004</v>
      </c>
      <c r="D227" s="605">
        <f>1-C227</f>
        <v>0.11124999999999996</v>
      </c>
      <c r="J227" s="451"/>
      <c r="K227" s="451"/>
      <c r="L227" s="451"/>
      <c r="M227" s="451"/>
      <c r="O227"/>
      <c r="P227"/>
      <c r="Q227"/>
      <c r="R227"/>
    </row>
    <row r="228" spans="2:26" ht="15.5">
      <c r="E228"/>
      <c r="F228"/>
      <c r="G228" s="393"/>
      <c r="H228" s="393"/>
      <c r="I228" s="393"/>
      <c r="J228" s="456"/>
      <c r="K228" s="456"/>
      <c r="L228" s="456"/>
      <c r="M228" s="456"/>
      <c r="N228" s="393"/>
      <c r="O228"/>
      <c r="P228"/>
      <c r="Q228"/>
      <c r="R228"/>
      <c r="T228" s="393"/>
    </row>
    <row r="229" spans="2:26" ht="15.5">
      <c r="E229"/>
      <c r="F229"/>
      <c r="J229" s="451"/>
      <c r="K229" s="451"/>
      <c r="L229" s="451"/>
      <c r="M229" s="451"/>
      <c r="O229"/>
      <c r="P229"/>
      <c r="Q229"/>
      <c r="R229"/>
    </row>
    <row r="230" spans="2:26" ht="15.5">
      <c r="E230"/>
      <c r="F230"/>
      <c r="J230" s="451"/>
      <c r="K230" s="451"/>
      <c r="L230" s="451"/>
      <c r="M230" s="451"/>
      <c r="O230"/>
      <c r="P230"/>
      <c r="Q230"/>
      <c r="R230"/>
    </row>
    <row r="231" spans="2:26" ht="15.5">
      <c r="J231" s="451"/>
      <c r="K231" s="451"/>
      <c r="L231" s="451"/>
      <c r="M231" s="451"/>
      <c r="O231"/>
      <c r="P231"/>
      <c r="Q231"/>
      <c r="R231"/>
    </row>
    <row r="232" spans="2:26" ht="15.5">
      <c r="J232" s="451"/>
      <c r="K232" s="451"/>
      <c r="L232" s="451"/>
      <c r="M232" s="451"/>
      <c r="O232"/>
      <c r="P232"/>
      <c r="Q232"/>
      <c r="R232"/>
      <c r="T232"/>
    </row>
    <row r="233" spans="2:26" ht="15.5">
      <c r="B233" s="927" t="s">
        <v>20</v>
      </c>
      <c r="C233" s="928" t="s">
        <v>3156</v>
      </c>
      <c r="J233" s="818"/>
      <c r="K233" s="818"/>
      <c r="L233" s="451"/>
      <c r="M233" s="451"/>
      <c r="O233"/>
      <c r="P233"/>
      <c r="Q233"/>
      <c r="R233"/>
      <c r="T233"/>
    </row>
    <row r="234" spans="2:26" ht="15.5">
      <c r="B234" s="927" t="s">
        <v>34</v>
      </c>
      <c r="C234" s="928" t="s">
        <v>34</v>
      </c>
      <c r="D234" s="101"/>
      <c r="J234" s="818"/>
      <c r="K234" s="818"/>
      <c r="L234" s="451"/>
      <c r="M234" s="451"/>
      <c r="O234"/>
      <c r="P234"/>
      <c r="Q234"/>
      <c r="R234"/>
      <c r="T234"/>
    </row>
    <row r="235" spans="2:26" ht="15.5">
      <c r="B235" s="641" t="s">
        <v>2942</v>
      </c>
      <c r="J235" s="641"/>
      <c r="L235" s="451"/>
      <c r="M235" s="451"/>
      <c r="O235"/>
      <c r="P235"/>
      <c r="Q235"/>
      <c r="R235"/>
      <c r="T235"/>
      <c r="W235"/>
      <c r="X235"/>
      <c r="Y235"/>
    </row>
    <row r="236" spans="2:26" ht="15.5">
      <c r="B236" s="927" t="s">
        <v>1867</v>
      </c>
      <c r="C236" s="928"/>
      <c r="D236"/>
      <c r="E236" s="641" t="s">
        <v>1918</v>
      </c>
      <c r="F236" t="s">
        <v>2944</v>
      </c>
      <c r="G236" t="s">
        <v>2943</v>
      </c>
      <c r="J236"/>
      <c r="K236"/>
      <c r="L236" s="456"/>
      <c r="M236" s="456"/>
      <c r="N236" s="393"/>
      <c r="O236"/>
      <c r="P236"/>
      <c r="Q236"/>
      <c r="R236"/>
      <c r="T236" s="456"/>
      <c r="U236" s="393"/>
      <c r="V236" s="393"/>
      <c r="W236" s="456"/>
      <c r="X236" s="456"/>
      <c r="Y236" s="456"/>
      <c r="Z236" s="393"/>
    </row>
    <row r="237" spans="2:26" ht="15.5">
      <c r="B237" s="930" t="s">
        <v>2945</v>
      </c>
      <c r="C237" s="935">
        <v>115345</v>
      </c>
      <c r="D237"/>
      <c r="E237">
        <f>GETPIVOTDATA(" Total PoP ",$B$236)</f>
        <v>115345</v>
      </c>
      <c r="F237">
        <f>GETPIVOTDATA("Men",$B$236)+GETPIVOTDATA("Women",$B$236)+GETPIVOTDATA("Boys",$B$236)+GETPIVOTDATA("Girls",$B$236)</f>
        <v>26581</v>
      </c>
      <c r="G237" s="456">
        <f>E237-F237</f>
        <v>88764</v>
      </c>
      <c r="H237" s="674"/>
      <c r="J237"/>
      <c r="K237"/>
      <c r="L237"/>
      <c r="M237"/>
      <c r="O237"/>
      <c r="P237"/>
      <c r="Q237"/>
      <c r="R237"/>
      <c r="T237"/>
      <c r="W237"/>
      <c r="X237"/>
      <c r="Y237"/>
    </row>
    <row r="238" spans="2:26" ht="15.5">
      <c r="B238" s="930" t="s">
        <v>2917</v>
      </c>
      <c r="C238" s="935">
        <v>5736</v>
      </c>
      <c r="D238" s="451"/>
      <c r="J238"/>
      <c r="K238"/>
      <c r="L238"/>
      <c r="M238"/>
      <c r="O238"/>
      <c r="P238"/>
      <c r="Q238"/>
      <c r="R238"/>
      <c r="T238"/>
      <c r="U238"/>
      <c r="V238"/>
      <c r="W238"/>
      <c r="X238"/>
      <c r="Y238"/>
    </row>
    <row r="239" spans="2:26" ht="15.5">
      <c r="B239" s="930" t="s">
        <v>2918</v>
      </c>
      <c r="C239" s="935">
        <v>6909</v>
      </c>
      <c r="E239" s="627" t="s">
        <v>2946</v>
      </c>
      <c r="F239" s="627" t="s">
        <v>2917</v>
      </c>
      <c r="G239" s="627" t="s">
        <v>2918</v>
      </c>
      <c r="H239" s="627" t="s">
        <v>2919</v>
      </c>
      <c r="I239" s="660" t="s">
        <v>2920</v>
      </c>
      <c r="O239"/>
      <c r="P239"/>
      <c r="Q239"/>
      <c r="R239"/>
      <c r="U239"/>
      <c r="V239"/>
      <c r="W239"/>
      <c r="X239"/>
      <c r="Y239"/>
    </row>
    <row r="240" spans="2:26" ht="15.5">
      <c r="B240" s="930" t="s">
        <v>2919</v>
      </c>
      <c r="C240" s="935">
        <v>7002</v>
      </c>
      <c r="E240" s="659">
        <f>E237-F237</f>
        <v>88764</v>
      </c>
      <c r="F240" s="659">
        <f>GETPIVOTDATA("Men",$B$236)</f>
        <v>5736</v>
      </c>
      <c r="G240" s="659">
        <f>GETPIVOTDATA("Women",$B$236)</f>
        <v>6909</v>
      </c>
      <c r="H240" s="659">
        <f>GETPIVOTDATA("Boys",$B$236)</f>
        <v>7002</v>
      </c>
      <c r="I240" s="658">
        <f>GETPIVOTDATA("Girls",$B$236)</f>
        <v>6934</v>
      </c>
      <c r="O240"/>
      <c r="P240"/>
      <c r="Q240"/>
      <c r="R240"/>
      <c r="T240" s="393"/>
      <c r="U240" s="456"/>
      <c r="V240" s="456"/>
      <c r="W240" s="456"/>
      <c r="X240" s="456"/>
      <c r="Y240" s="456"/>
      <c r="Z240" s="393"/>
    </row>
    <row r="241" spans="1:26" ht="15.5">
      <c r="B241" s="930" t="s">
        <v>2920</v>
      </c>
      <c r="C241" s="935">
        <v>6934</v>
      </c>
      <c r="E241" s="393"/>
      <c r="F241" s="393"/>
      <c r="G241" s="393"/>
      <c r="H241" s="393"/>
      <c r="I241" s="393"/>
      <c r="J241" s="451"/>
      <c r="K241" s="451"/>
      <c r="L241" s="456"/>
      <c r="M241" s="456"/>
      <c r="N241" s="393"/>
      <c r="O241"/>
      <c r="P241"/>
      <c r="Q241"/>
      <c r="R241"/>
      <c r="T241" s="393"/>
      <c r="U241" s="456"/>
      <c r="V241" s="456"/>
      <c r="W241" s="456"/>
      <c r="X241" s="456"/>
      <c r="Y241" s="456"/>
      <c r="Z241" s="393"/>
    </row>
    <row r="242" spans="1:26" ht="15.5">
      <c r="K242"/>
      <c r="L242"/>
      <c r="M242"/>
      <c r="O242"/>
      <c r="P242"/>
      <c r="Q242"/>
      <c r="R242"/>
      <c r="U242"/>
      <c r="V242"/>
      <c r="W242"/>
    </row>
    <row r="243" spans="1:26" ht="15.5">
      <c r="K243"/>
      <c r="O243"/>
      <c r="P243"/>
      <c r="Q243"/>
      <c r="R243"/>
      <c r="U243"/>
      <c r="V243"/>
      <c r="W243"/>
    </row>
    <row r="244" spans="1:26" ht="15.5">
      <c r="K244" s="428"/>
      <c r="O244"/>
      <c r="P244"/>
      <c r="Q244"/>
      <c r="R244"/>
      <c r="U244" s="350"/>
      <c r="V244" s="350"/>
      <c r="W244" s="350"/>
    </row>
    <row r="245" spans="1:26" ht="15.5">
      <c r="K245" s="428"/>
      <c r="L245" s="429"/>
      <c r="M245" s="429"/>
      <c r="O245"/>
      <c r="P245"/>
      <c r="Q245"/>
      <c r="R245"/>
      <c r="U245" s="350"/>
      <c r="V245" s="350"/>
      <c r="W245" s="350"/>
    </row>
    <row r="246" spans="1:26" ht="15.5">
      <c r="K246" s="428"/>
      <c r="L246" s="429"/>
      <c r="M246" s="429"/>
      <c r="O246"/>
      <c r="P246"/>
      <c r="Q246"/>
      <c r="R246"/>
      <c r="U246" s="350"/>
      <c r="V246" s="350"/>
      <c r="W246" s="350"/>
    </row>
    <row r="247" spans="1:26" ht="15.5">
      <c r="K247" s="428"/>
      <c r="L247" s="429"/>
      <c r="M247" s="429"/>
      <c r="U247" s="350"/>
      <c r="V247" s="350"/>
      <c r="W247" s="350"/>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927" t="s">
        <v>20</v>
      </c>
      <c r="G251" s="928" t="s">
        <v>3156</v>
      </c>
      <c r="I251"/>
      <c r="J251"/>
    </row>
    <row r="252" spans="1:26" ht="15.5">
      <c r="F252" s="903" t="s">
        <v>21</v>
      </c>
      <c r="G252" s="928" t="s">
        <v>293</v>
      </c>
      <c r="I252"/>
      <c r="J252"/>
    </row>
    <row r="254" spans="1:26" ht="15.5">
      <c r="F254" s="927" t="s">
        <v>1868</v>
      </c>
      <c r="G254" s="927" t="s">
        <v>1866</v>
      </c>
      <c r="I254"/>
      <c r="J254"/>
      <c r="P254"/>
    </row>
    <row r="255" spans="1:26" ht="15.5">
      <c r="F255" s="927" t="s">
        <v>1619</v>
      </c>
      <c r="G255" s="928" t="s">
        <v>34</v>
      </c>
      <c r="I255"/>
      <c r="J255"/>
      <c r="O255" s="393"/>
      <c r="P255" s="456"/>
    </row>
    <row r="256" spans="1:26" ht="15.5">
      <c r="F256" s="930" t="s">
        <v>43</v>
      </c>
      <c r="G256" s="931">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927" t="s">
        <v>20</v>
      </c>
      <c r="D276" s="928" t="s">
        <v>3156</v>
      </c>
    </row>
    <row r="278" spans="3:12">
      <c r="C278" s="927" t="s">
        <v>21</v>
      </c>
      <c r="D278" s="927" t="s">
        <v>22</v>
      </c>
      <c r="E278" s="927" t="s">
        <v>23</v>
      </c>
      <c r="F278" s="927" t="s">
        <v>29</v>
      </c>
      <c r="G278" s="928" t="s">
        <v>1868</v>
      </c>
      <c r="H278" s="928" t="s">
        <v>1907</v>
      </c>
      <c r="I278" s="928" t="s">
        <v>1908</v>
      </c>
      <c r="J278" s="928" t="s">
        <v>1909</v>
      </c>
      <c r="K278" s="928" t="s">
        <v>1910</v>
      </c>
      <c r="L278" s="928" t="s">
        <v>1911</v>
      </c>
    </row>
    <row r="279" spans="3:12">
      <c r="C279" s="928" t="s">
        <v>293</v>
      </c>
      <c r="D279" s="928" t="s">
        <v>356</v>
      </c>
      <c r="E279" s="928" t="s">
        <v>367</v>
      </c>
      <c r="F279" s="928" t="s">
        <v>789</v>
      </c>
      <c r="G279" s="931">
        <v>1</v>
      </c>
      <c r="H279" s="935">
        <v>372</v>
      </c>
      <c r="I279" s="935">
        <v>1067</v>
      </c>
      <c r="J279" s="932">
        <v>0</v>
      </c>
      <c r="K279" s="932">
        <v>0</v>
      </c>
      <c r="L279" s="932">
        <v>0</v>
      </c>
    </row>
    <row r="280" spans="3:12">
      <c r="C280" s="928"/>
      <c r="D280" s="928" t="s">
        <v>398</v>
      </c>
      <c r="E280" s="928" t="s">
        <v>399</v>
      </c>
      <c r="F280" s="928" t="s">
        <v>789</v>
      </c>
      <c r="G280" s="931">
        <v>1</v>
      </c>
      <c r="H280" s="935">
        <v>716</v>
      </c>
      <c r="I280" s="935">
        <v>2920</v>
      </c>
      <c r="J280" s="932">
        <v>1</v>
      </c>
      <c r="K280" s="932">
        <v>0</v>
      </c>
      <c r="L280" s="932">
        <v>1</v>
      </c>
    </row>
    <row r="281" spans="3:12">
      <c r="C281" s="928"/>
      <c r="D281" s="928" t="s">
        <v>401</v>
      </c>
      <c r="E281" s="928" t="s">
        <v>411</v>
      </c>
      <c r="F281" s="928" t="s">
        <v>789</v>
      </c>
      <c r="G281" s="931">
        <v>1</v>
      </c>
      <c r="H281" s="935">
        <v>1112</v>
      </c>
      <c r="I281" s="935">
        <v>5133</v>
      </c>
      <c r="J281" s="932">
        <v>0</v>
      </c>
      <c r="K281" s="932">
        <v>0.22852133255406193</v>
      </c>
      <c r="L281" s="932">
        <v>0</v>
      </c>
    </row>
    <row r="282" spans="3:12">
      <c r="C282" s="928"/>
      <c r="D282" s="928"/>
      <c r="E282" s="928" t="s">
        <v>409</v>
      </c>
      <c r="F282" s="928" t="s">
        <v>789</v>
      </c>
      <c r="G282" s="931">
        <v>1</v>
      </c>
      <c r="H282" s="935">
        <v>1387</v>
      </c>
      <c r="I282" s="935">
        <v>6674</v>
      </c>
      <c r="J282" s="932">
        <v>0</v>
      </c>
      <c r="K282" s="932">
        <v>0.30041953850764158</v>
      </c>
      <c r="L282" s="932">
        <v>0</v>
      </c>
    </row>
    <row r="283" spans="3:12">
      <c r="C283" s="928"/>
      <c r="D283" s="928"/>
      <c r="E283" s="928" t="s">
        <v>405</v>
      </c>
      <c r="F283" s="928" t="s">
        <v>1854</v>
      </c>
      <c r="G283" s="931">
        <v>1</v>
      </c>
      <c r="H283" s="935">
        <v>1076</v>
      </c>
      <c r="I283" s="935">
        <v>5024</v>
      </c>
      <c r="J283" s="932">
        <v>0</v>
      </c>
      <c r="K283" s="932">
        <v>0.39490445859872614</v>
      </c>
      <c r="L283" s="932">
        <v>0</v>
      </c>
    </row>
    <row r="284" spans="3:12">
      <c r="C284" s="928"/>
      <c r="D284" s="928"/>
      <c r="E284" s="928" t="s">
        <v>406</v>
      </c>
      <c r="F284" s="928" t="s">
        <v>789</v>
      </c>
      <c r="G284" s="931">
        <v>1</v>
      </c>
      <c r="H284" s="935">
        <v>1064</v>
      </c>
      <c r="I284" s="935">
        <v>5137</v>
      </c>
      <c r="J284" s="932">
        <v>0</v>
      </c>
      <c r="K284" s="932">
        <v>0.27584193108818378</v>
      </c>
      <c r="L284" s="932">
        <v>0</v>
      </c>
    </row>
    <row r="285" spans="3:12">
      <c r="C285" s="928"/>
      <c r="D285" s="928"/>
      <c r="E285" s="928" t="s">
        <v>404</v>
      </c>
      <c r="F285" s="928" t="s">
        <v>789</v>
      </c>
      <c r="G285" s="931">
        <v>1</v>
      </c>
      <c r="H285" s="935">
        <v>729</v>
      </c>
      <c r="I285" s="935">
        <v>2516</v>
      </c>
      <c r="J285" s="932">
        <v>0</v>
      </c>
      <c r="K285" s="932">
        <v>0</v>
      </c>
      <c r="L285" s="932">
        <v>0</v>
      </c>
    </row>
    <row r="286" spans="3:12">
      <c r="C286" s="928"/>
      <c r="D286" s="928" t="s">
        <v>294</v>
      </c>
      <c r="E286" s="928" t="s">
        <v>413</v>
      </c>
      <c r="F286" s="928" t="s">
        <v>789</v>
      </c>
      <c r="G286" s="931">
        <v>1</v>
      </c>
      <c r="H286" s="935">
        <v>382</v>
      </c>
      <c r="I286" s="935">
        <v>2139</v>
      </c>
      <c r="J286" s="932">
        <v>0</v>
      </c>
      <c r="K286" s="932">
        <v>0</v>
      </c>
      <c r="L286" s="932">
        <v>0</v>
      </c>
    </row>
    <row r="287" spans="3:12">
      <c r="C287" s="928"/>
      <c r="D287" s="928"/>
      <c r="E287" s="928" t="s">
        <v>424</v>
      </c>
      <c r="F287" s="928" t="s">
        <v>789</v>
      </c>
      <c r="G287" s="931">
        <v>1</v>
      </c>
      <c r="H287" s="935">
        <v>1012</v>
      </c>
      <c r="I287" s="935">
        <v>4875</v>
      </c>
      <c r="J287" s="932">
        <v>0</v>
      </c>
      <c r="K287" s="932">
        <v>0</v>
      </c>
      <c r="L287" s="932">
        <v>0</v>
      </c>
    </row>
    <row r="288" spans="3:12">
      <c r="C288" s="928"/>
      <c r="D288" s="928"/>
      <c r="E288" s="928" t="s">
        <v>426</v>
      </c>
      <c r="F288" s="928" t="s">
        <v>789</v>
      </c>
      <c r="G288" s="931">
        <v>1</v>
      </c>
      <c r="H288" s="935">
        <v>1331</v>
      </c>
      <c r="I288" s="935">
        <v>7033</v>
      </c>
      <c r="J288" s="932">
        <v>0</v>
      </c>
      <c r="K288" s="932">
        <v>0.21228494241433238</v>
      </c>
      <c r="L288" s="932">
        <v>0</v>
      </c>
    </row>
    <row r="289" spans="3:12">
      <c r="C289" s="928"/>
      <c r="D289" s="928"/>
      <c r="E289" s="928" t="s">
        <v>423</v>
      </c>
      <c r="F289" s="928" t="s">
        <v>789</v>
      </c>
      <c r="G289" s="931">
        <v>1</v>
      </c>
      <c r="H289" s="935">
        <v>1850</v>
      </c>
      <c r="I289" s="935">
        <v>11056</v>
      </c>
      <c r="J289" s="932">
        <v>0</v>
      </c>
      <c r="K289" s="932">
        <v>0.17981186685962369</v>
      </c>
      <c r="L289" s="932">
        <v>0</v>
      </c>
    </row>
    <row r="290" spans="3:12">
      <c r="C290" s="928"/>
      <c r="D290" s="928"/>
      <c r="E290" s="928" t="s">
        <v>430</v>
      </c>
      <c r="F290" s="928" t="s">
        <v>789</v>
      </c>
      <c r="G290" s="931">
        <v>1</v>
      </c>
      <c r="H290" s="935">
        <v>656</v>
      </c>
      <c r="I290" s="935">
        <v>3486</v>
      </c>
      <c r="J290" s="932">
        <v>0</v>
      </c>
      <c r="K290" s="932">
        <v>0</v>
      </c>
      <c r="L290" s="932">
        <v>1</v>
      </c>
    </row>
    <row r="291" spans="3:12">
      <c r="C291" s="928"/>
      <c r="D291" s="928"/>
      <c r="E291" s="928" t="s">
        <v>440</v>
      </c>
      <c r="F291" s="928" t="s">
        <v>789</v>
      </c>
      <c r="G291" s="931">
        <v>1</v>
      </c>
      <c r="H291" s="935">
        <v>774</v>
      </c>
      <c r="I291" s="935">
        <v>3095</v>
      </c>
      <c r="J291" s="932">
        <v>0</v>
      </c>
      <c r="K291" s="932">
        <v>8.9176090468497615E-2</v>
      </c>
      <c r="L291" s="932">
        <v>1</v>
      </c>
    </row>
    <row r="292" spans="3:12">
      <c r="C292" s="928"/>
      <c r="D292" s="928"/>
      <c r="E292" s="928" t="s">
        <v>431</v>
      </c>
      <c r="F292" s="928" t="s">
        <v>789</v>
      </c>
      <c r="G292" s="931">
        <v>1</v>
      </c>
      <c r="H292" s="935">
        <v>2728</v>
      </c>
      <c r="I292" s="935">
        <v>13302</v>
      </c>
      <c r="J292" s="932">
        <v>0</v>
      </c>
      <c r="K292" s="932">
        <v>0.13997895053375431</v>
      </c>
      <c r="L292" s="932">
        <v>1</v>
      </c>
    </row>
    <row r="293" spans="3:12">
      <c r="C293" s="928"/>
      <c r="D293" s="928"/>
      <c r="E293" s="928" t="s">
        <v>429</v>
      </c>
      <c r="F293" s="928" t="s">
        <v>789</v>
      </c>
      <c r="G293" s="931">
        <v>1</v>
      </c>
      <c r="H293" s="935">
        <v>2260</v>
      </c>
      <c r="I293" s="935">
        <v>11478</v>
      </c>
      <c r="J293" s="932">
        <v>0</v>
      </c>
      <c r="K293" s="932">
        <v>0</v>
      </c>
      <c r="L293" s="932">
        <v>1</v>
      </c>
    </row>
    <row r="294" spans="3:12">
      <c r="C294" s="928"/>
      <c r="D294" s="928"/>
      <c r="E294" s="928" t="s">
        <v>438</v>
      </c>
      <c r="F294" s="928" t="s">
        <v>789</v>
      </c>
      <c r="G294" s="931">
        <v>1</v>
      </c>
      <c r="H294" s="935">
        <v>2280</v>
      </c>
      <c r="I294" s="935">
        <v>11564</v>
      </c>
      <c r="J294" s="932">
        <v>0</v>
      </c>
      <c r="K294" s="932">
        <v>0.23114839156001388</v>
      </c>
      <c r="L294" s="932">
        <v>1</v>
      </c>
    </row>
    <row r="295" spans="3:12">
      <c r="C295" s="928"/>
      <c r="D295" s="928"/>
      <c r="E295" s="928" t="s">
        <v>421</v>
      </c>
      <c r="F295" s="928" t="s">
        <v>792</v>
      </c>
      <c r="G295" s="931">
        <v>1</v>
      </c>
      <c r="H295" s="935">
        <v>1139</v>
      </c>
      <c r="I295" s="935">
        <v>6016</v>
      </c>
      <c r="J295" s="932">
        <v>0</v>
      </c>
      <c r="K295" s="932">
        <v>0.27094414893617025</v>
      </c>
      <c r="L295" s="932">
        <v>1</v>
      </c>
    </row>
    <row r="296" spans="3:12">
      <c r="C296" s="928"/>
      <c r="D296" s="928"/>
      <c r="E296" s="928" t="s">
        <v>425</v>
      </c>
      <c r="F296" s="928" t="s">
        <v>789</v>
      </c>
      <c r="G296" s="931">
        <v>1</v>
      </c>
      <c r="H296" s="935">
        <v>1013</v>
      </c>
      <c r="I296" s="935">
        <v>5950</v>
      </c>
      <c r="J296" s="932">
        <v>0</v>
      </c>
      <c r="K296" s="932">
        <v>0.16672268907563026</v>
      </c>
      <c r="L296" s="932">
        <v>1</v>
      </c>
    </row>
    <row r="297" spans="3:12">
      <c r="C297" s="928"/>
      <c r="D297" s="928"/>
      <c r="E297" s="928" t="s">
        <v>2272</v>
      </c>
      <c r="F297" s="928" t="s">
        <v>789</v>
      </c>
      <c r="G297" s="931">
        <v>1</v>
      </c>
      <c r="H297" s="935">
        <v>400</v>
      </c>
      <c r="I297" s="935">
        <v>2186</v>
      </c>
      <c r="J297" s="932">
        <v>0</v>
      </c>
      <c r="K297" s="932">
        <v>0</v>
      </c>
      <c r="L297" s="932">
        <v>1</v>
      </c>
    </row>
    <row r="298" spans="3:12">
      <c r="C298" s="928"/>
      <c r="D298" s="928"/>
      <c r="E298" s="928" t="s">
        <v>2271</v>
      </c>
      <c r="F298" s="928" t="s">
        <v>789</v>
      </c>
      <c r="G298" s="931">
        <v>1</v>
      </c>
      <c r="H298" s="935">
        <v>400</v>
      </c>
      <c r="I298" s="935">
        <v>2248</v>
      </c>
      <c r="J298" s="932">
        <v>0</v>
      </c>
      <c r="K298" s="932">
        <v>0</v>
      </c>
      <c r="L298" s="932">
        <v>1</v>
      </c>
    </row>
    <row r="299" spans="3:12">
      <c r="C299" s="928"/>
      <c r="D299" s="928"/>
      <c r="E299" s="928" t="s">
        <v>2273</v>
      </c>
      <c r="F299" s="928" t="s">
        <v>789</v>
      </c>
      <c r="G299" s="931">
        <v>1</v>
      </c>
      <c r="H299" s="935">
        <v>400</v>
      </c>
      <c r="I299" s="935">
        <v>2446</v>
      </c>
      <c r="J299" s="932">
        <v>0</v>
      </c>
      <c r="K299" s="932">
        <v>0</v>
      </c>
      <c r="L299" s="932">
        <v>1</v>
      </c>
    </row>
    <row r="300" spans="3:12">
      <c r="C300" s="928" t="s">
        <v>3008</v>
      </c>
      <c r="D300" s="928"/>
      <c r="E300" s="928"/>
      <c r="F300" s="928"/>
      <c r="G300" s="931">
        <v>21</v>
      </c>
      <c r="H300" s="935">
        <v>23081</v>
      </c>
      <c r="I300" s="935">
        <v>115345</v>
      </c>
      <c r="J300" s="932">
        <v>4.7619047619047616E-2</v>
      </c>
      <c r="K300" s="932">
        <v>0.11855973050460171</v>
      </c>
      <c r="L300" s="932">
        <v>0.52380952380952384</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ht="15.5">
      <c r="C304"/>
      <c r="D304"/>
      <c r="E304"/>
      <c r="F304"/>
      <c r="G304"/>
      <c r="H304"/>
      <c r="I304"/>
      <c r="J304"/>
      <c r="K304"/>
      <c r="L304"/>
    </row>
    <row r="305" spans="1:25" ht="15.5">
      <c r="C305"/>
      <c r="D305"/>
      <c r="E305"/>
      <c r="F305"/>
      <c r="G305"/>
      <c r="H305"/>
      <c r="I305"/>
      <c r="J305"/>
      <c r="K305"/>
      <c r="L305"/>
    </row>
    <row r="306" spans="1:25" ht="15.5">
      <c r="C306"/>
      <c r="D306"/>
      <c r="E306"/>
      <c r="F306"/>
      <c r="G306"/>
      <c r="H306"/>
      <c r="I306"/>
      <c r="J306"/>
      <c r="K306"/>
      <c r="L306"/>
    </row>
    <row r="307" spans="1:25">
      <c r="C307" s="430"/>
      <c r="D307" s="430"/>
      <c r="E307" s="430"/>
      <c r="F307" s="430"/>
      <c r="G307" s="431"/>
      <c r="H307" s="432"/>
      <c r="I307" s="432"/>
      <c r="J307" s="433"/>
      <c r="K307" s="433"/>
      <c r="L307" s="433"/>
    </row>
    <row r="308" spans="1:25">
      <c r="C308" s="430"/>
      <c r="D308" s="430"/>
      <c r="E308" s="430"/>
      <c r="F308" s="430"/>
      <c r="G308" s="431"/>
      <c r="H308" s="432"/>
      <c r="I308" s="432"/>
      <c r="J308" s="433"/>
      <c r="K308" s="433"/>
      <c r="L308" s="433"/>
    </row>
    <row r="309" spans="1:25">
      <c r="C309" s="430"/>
      <c r="D309" s="430"/>
      <c r="E309" s="430"/>
      <c r="F309" s="430"/>
      <c r="G309" s="431"/>
      <c r="H309" s="432"/>
      <c r="I309" s="432"/>
      <c r="J309" s="433"/>
      <c r="K309" s="433"/>
      <c r="L309" s="433"/>
    </row>
    <row r="310" spans="1:25" ht="18.5">
      <c r="A310" s="145" t="s">
        <v>3134</v>
      </c>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row>
    <row r="311" spans="1:25">
      <c r="C311" s="101"/>
      <c r="D311" s="101"/>
      <c r="E311" s="101"/>
      <c r="F311" s="101"/>
      <c r="G311" s="101"/>
      <c r="H311" s="101"/>
      <c r="I311" s="101"/>
      <c r="J311" s="101"/>
      <c r="K311" s="101"/>
    </row>
    <row r="312" spans="1:25">
      <c r="C312" s="101"/>
      <c r="D312" s="101"/>
      <c r="E312" s="101"/>
      <c r="F312" s="101"/>
      <c r="G312" s="101"/>
      <c r="H312" s="101"/>
      <c r="I312" s="101"/>
      <c r="J312" s="101"/>
      <c r="K312" s="101"/>
    </row>
    <row r="313" spans="1:25">
      <c r="C313" s="101"/>
      <c r="D313" s="101"/>
      <c r="E313" s="101"/>
      <c r="F313" s="101"/>
      <c r="G313" s="101"/>
      <c r="H313" s="101"/>
      <c r="I313" s="101"/>
      <c r="J313" s="101"/>
      <c r="K313" s="101"/>
      <c r="Q313" s="94" t="s">
        <v>1622</v>
      </c>
      <c r="R313" s="94" t="s">
        <v>1904</v>
      </c>
      <c r="S313" s="735" t="s">
        <v>2944</v>
      </c>
      <c r="T313" s="735" t="s">
        <v>2992</v>
      </c>
    </row>
    <row r="314" spans="1:25">
      <c r="B314" s="927" t="s">
        <v>20</v>
      </c>
      <c r="C314" s="928" t="s">
        <v>3156</v>
      </c>
      <c r="E314" s="101"/>
      <c r="G314" s="101"/>
      <c r="H314" s="941" t="s">
        <v>20</v>
      </c>
      <c r="I314" s="942" t="s">
        <v>3156</v>
      </c>
      <c r="K314" s="101"/>
      <c r="L314" s="94" t="s">
        <v>3161</v>
      </c>
      <c r="M314" s="94">
        <v>6560.4299999999994</v>
      </c>
      <c r="N314" s="94">
        <f>HRP!E34</f>
        <v>600</v>
      </c>
      <c r="O314" s="94">
        <f>M314-N314</f>
        <v>5960.4299999999994</v>
      </c>
      <c r="Q314" s="94" t="s">
        <v>3172</v>
      </c>
      <c r="R314" s="94">
        <v>10934.050000000001</v>
      </c>
      <c r="S314" s="94">
        <f>HRP!E35</f>
        <v>7400</v>
      </c>
      <c r="T314" s="94">
        <f>R314-S314</f>
        <v>3534.0500000000011</v>
      </c>
    </row>
    <row r="315" spans="1:25">
      <c r="B315" s="927" t="s">
        <v>34</v>
      </c>
      <c r="C315" s="928" t="s">
        <v>34</v>
      </c>
      <c r="E315" s="101"/>
      <c r="G315" s="101"/>
      <c r="H315" s="941" t="s">
        <v>34</v>
      </c>
      <c r="I315" s="942" t="s">
        <v>34</v>
      </c>
      <c r="K315" s="101"/>
    </row>
    <row r="316" spans="1:25">
      <c r="B316" s="430"/>
      <c r="E316" s="101"/>
      <c r="G316" s="101"/>
      <c r="H316" s="430"/>
      <c r="K316" s="101"/>
    </row>
    <row r="317" spans="1:25" s="99" customFormat="1" ht="15.5">
      <c r="B317" s="940" t="s">
        <v>21</v>
      </c>
      <c r="C317" s="928" t="s">
        <v>2810</v>
      </c>
      <c r="D317" s="928" t="s">
        <v>2986</v>
      </c>
      <c r="E317" s="928" t="s">
        <v>3133</v>
      </c>
      <c r="G317"/>
      <c r="H317" s="941" t="s">
        <v>1867</v>
      </c>
      <c r="I317" s="942"/>
      <c r="J317"/>
      <c r="K317"/>
      <c r="L317"/>
      <c r="M317" s="829"/>
      <c r="N317" s="829"/>
      <c r="O317" s="829"/>
      <c r="P317" s="829"/>
      <c r="Q317" s="829"/>
      <c r="R317" s="829"/>
      <c r="S317" s="829"/>
      <c r="T317" s="829"/>
      <c r="U317" s="829"/>
      <c r="V317" s="829"/>
      <c r="W317" s="829"/>
      <c r="X317" s="829"/>
      <c r="Y317" s="829"/>
    </row>
    <row r="318" spans="1:25" ht="15.5">
      <c r="B318" s="930" t="s">
        <v>293</v>
      </c>
      <c r="C318" s="935">
        <v>148</v>
      </c>
      <c r="D318" s="935">
        <v>12</v>
      </c>
      <c r="E318" s="935">
        <v>61</v>
      </c>
      <c r="G318"/>
      <c r="H318" s="943" t="s">
        <v>3135</v>
      </c>
      <c r="I318" s="944">
        <v>197</v>
      </c>
      <c r="J318"/>
      <c r="K318"/>
      <c r="L318"/>
    </row>
    <row r="319" spans="1:25" ht="15.5">
      <c r="C319"/>
      <c r="D319"/>
      <c r="E319"/>
      <c r="F319"/>
      <c r="G319"/>
      <c r="H319" s="943" t="s">
        <v>3136</v>
      </c>
      <c r="I319" s="944">
        <v>0</v>
      </c>
      <c r="J319" s="101"/>
      <c r="K319" s="101"/>
    </row>
    <row r="320" spans="1:25" ht="15.5">
      <c r="C320"/>
      <c r="D320"/>
      <c r="E320"/>
      <c r="F320"/>
      <c r="G320"/>
      <c r="H320" s="943" t="s">
        <v>3137</v>
      </c>
      <c r="I320" s="944">
        <v>7400</v>
      </c>
      <c r="J320" s="101"/>
      <c r="K320" s="101"/>
    </row>
    <row r="321" spans="2:30" ht="15.5">
      <c r="C321"/>
      <c r="D321"/>
      <c r="E321"/>
      <c r="F321"/>
      <c r="G321"/>
      <c r="H321" s="943" t="s">
        <v>3222</v>
      </c>
      <c r="I321" s="944">
        <v>600</v>
      </c>
      <c r="J321" s="101"/>
      <c r="K321" s="101"/>
    </row>
    <row r="322" spans="2:30" ht="15.5">
      <c r="C322" s="101"/>
      <c r="D322" s="101"/>
      <c r="E322" s="101"/>
      <c r="F322" s="101"/>
      <c r="G322" s="101"/>
      <c r="H322"/>
      <c r="I322"/>
      <c r="J322" s="101"/>
      <c r="K322" s="101"/>
    </row>
    <row r="323" spans="2:30" s="407" customFormat="1" ht="15.5">
      <c r="C323" s="101"/>
      <c r="D323" s="101"/>
      <c r="E323" s="101"/>
      <c r="F323" s="101"/>
      <c r="G323" s="408"/>
      <c r="H323"/>
      <c r="I323"/>
    </row>
    <row r="324" spans="2:30">
      <c r="C324" s="101"/>
      <c r="D324" s="101"/>
      <c r="E324" s="101"/>
      <c r="F324" s="101"/>
      <c r="G324" s="101"/>
      <c r="H324" s="101"/>
    </row>
    <row r="325" spans="2:30">
      <c r="C325" s="101"/>
      <c r="D325" s="101"/>
      <c r="E325" s="101"/>
      <c r="F325" s="101"/>
      <c r="G325" s="101"/>
      <c r="H325" s="101"/>
    </row>
    <row r="326" spans="2:30">
      <c r="C326" s="101"/>
      <c r="D326" s="101"/>
      <c r="E326" s="101"/>
      <c r="F326" s="101"/>
      <c r="G326" s="101"/>
      <c r="H326" s="101"/>
    </row>
    <row r="327" spans="2:30">
      <c r="C327" s="101"/>
      <c r="D327" s="101"/>
      <c r="E327" s="101"/>
      <c r="F327" s="101"/>
      <c r="G327" s="101"/>
      <c r="H327" s="101"/>
      <c r="I327" s="101"/>
      <c r="J327" s="101"/>
      <c r="K327" s="101"/>
    </row>
    <row r="328" spans="2:30" ht="15.5">
      <c r="B328" s="101"/>
      <c r="C328" s="101"/>
      <c r="D328" s="101"/>
      <c r="E328" s="101"/>
      <c r="F328" s="101"/>
      <c r="G328" s="101"/>
      <c r="H328" s="101"/>
      <c r="I328" s="101"/>
      <c r="J328" s="101"/>
      <c r="K328"/>
      <c r="L328"/>
      <c r="M328"/>
      <c r="N328"/>
      <c r="O328"/>
      <c r="P328"/>
      <c r="Q328"/>
    </row>
    <row r="329" spans="2:30" ht="15.5">
      <c r="B329" s="101"/>
      <c r="C329" s="101"/>
      <c r="D329" s="101"/>
      <c r="E329" s="101"/>
      <c r="F329" s="101"/>
      <c r="G329" s="101"/>
      <c r="H329" s="101"/>
      <c r="I329" s="101"/>
      <c r="J329" s="101"/>
      <c r="K329"/>
      <c r="L329"/>
      <c r="M329"/>
      <c r="N329"/>
      <c r="O329"/>
      <c r="P329"/>
      <c r="Q329"/>
    </row>
    <row r="330" spans="2:30" ht="15.5">
      <c r="C330" s="101"/>
      <c r="D330" s="101"/>
      <c r="E330" s="101"/>
      <c r="F330" s="101"/>
      <c r="G330" s="101"/>
      <c r="H330" s="101"/>
      <c r="I330" s="101"/>
      <c r="J330" s="101"/>
      <c r="K330"/>
      <c r="L330"/>
      <c r="M330"/>
      <c r="N330"/>
      <c r="O330"/>
      <c r="P330"/>
      <c r="Q330"/>
    </row>
    <row r="331" spans="2:30" ht="15.5">
      <c r="C331" s="101"/>
      <c r="D331" s="101"/>
      <c r="E331" s="101"/>
      <c r="F331" s="101"/>
      <c r="G331" s="101"/>
      <c r="H331" s="101"/>
      <c r="I331" s="101"/>
      <c r="J331" s="101"/>
      <c r="K331"/>
      <c r="L331"/>
      <c r="M331"/>
      <c r="N331"/>
      <c r="O331"/>
      <c r="P331"/>
      <c r="Q331"/>
    </row>
    <row r="332" spans="2:30" ht="15.5">
      <c r="C332" s="101"/>
      <c r="D332" s="101"/>
      <c r="E332" s="101"/>
      <c r="F332" s="101"/>
      <c r="G332" s="101"/>
      <c r="H332" s="101"/>
      <c r="I332" s="101"/>
      <c r="J332" s="101"/>
      <c r="K332"/>
      <c r="L332"/>
      <c r="M332"/>
      <c r="N332"/>
      <c r="O332"/>
      <c r="P332"/>
      <c r="Q332"/>
    </row>
    <row r="333" spans="2:30" ht="15.5">
      <c r="C333" s="101"/>
      <c r="D333" s="101"/>
      <c r="E333" s="101"/>
      <c r="F333" s="101"/>
      <c r="G333" s="101"/>
      <c r="H333" s="101"/>
      <c r="I333" s="818"/>
      <c r="J333" s="818"/>
      <c r="K333"/>
      <c r="L333"/>
      <c r="N333"/>
      <c r="O333"/>
      <c r="P333"/>
    </row>
    <row r="334" spans="2:30" ht="15.5" hidden="1">
      <c r="B334" s="927" t="s">
        <v>20</v>
      </c>
      <c r="C334" s="928" t="s">
        <v>1620</v>
      </c>
      <c r="F334" s="101"/>
      <c r="G334" s="101"/>
      <c r="H334" s="101"/>
      <c r="I334" s="818"/>
      <c r="J334" s="818"/>
      <c r="K334" s="763"/>
      <c r="L334" s="763"/>
      <c r="N334"/>
      <c r="O334"/>
      <c r="P334"/>
    </row>
    <row r="335" spans="2:30" ht="15.5" hidden="1">
      <c r="B335" s="927" t="s">
        <v>34</v>
      </c>
      <c r="C335" s="928" t="s">
        <v>34</v>
      </c>
      <c r="F335" s="101"/>
      <c r="G335" s="101"/>
      <c r="H335" s="101"/>
      <c r="I335" s="430"/>
      <c r="K335" s="430"/>
      <c r="N335"/>
      <c r="O335"/>
      <c r="P335"/>
    </row>
    <row r="336" spans="2:30" ht="15.5" hidden="1">
      <c r="B336" s="430"/>
      <c r="F336" s="101"/>
      <c r="G336" s="101"/>
      <c r="H336" s="101"/>
      <c r="I336"/>
      <c r="J336"/>
      <c r="K336"/>
      <c r="L336"/>
      <c r="M336"/>
      <c r="N336"/>
      <c r="O336"/>
      <c r="P336"/>
      <c r="Q336"/>
      <c r="R336"/>
      <c r="S336"/>
      <c r="T336"/>
      <c r="U336"/>
      <c r="V336"/>
      <c r="W336"/>
      <c r="X336"/>
      <c r="Y336"/>
      <c r="Z336"/>
      <c r="AA336"/>
      <c r="AB336"/>
      <c r="AC336"/>
      <c r="AD336"/>
    </row>
    <row r="337" spans="1:30" ht="15.5" hidden="1">
      <c r="B337"/>
      <c r="C337"/>
      <c r="D337"/>
      <c r="F337"/>
      <c r="G337" s="603"/>
      <c r="H337" s="603"/>
      <c r="I337"/>
      <c r="J337"/>
      <c r="K337"/>
      <c r="L337"/>
      <c r="M337"/>
      <c r="N337"/>
      <c r="O337"/>
      <c r="P337"/>
      <c r="Q337"/>
      <c r="R337"/>
      <c r="S337"/>
      <c r="T337"/>
      <c r="U337"/>
      <c r="V337"/>
      <c r="W337"/>
      <c r="X337"/>
      <c r="Y337"/>
      <c r="Z337"/>
      <c r="AA337"/>
      <c r="AB337"/>
      <c r="AC337"/>
      <c r="AD337"/>
    </row>
    <row r="338" spans="1:30" ht="16" hidden="1" thickBot="1">
      <c r="B338"/>
      <c r="C338"/>
      <c r="D338"/>
      <c r="F338"/>
      <c r="G338" s="101"/>
      <c r="H338" s="101"/>
      <c r="I338"/>
      <c r="J338"/>
      <c r="K338"/>
      <c r="L338"/>
      <c r="M338"/>
      <c r="N338"/>
      <c r="O338"/>
      <c r="P338"/>
      <c r="Q338"/>
      <c r="R338"/>
      <c r="S338"/>
      <c r="T338"/>
      <c r="U338"/>
      <c r="V338"/>
      <c r="W338"/>
      <c r="X338"/>
      <c r="Y338"/>
      <c r="Z338"/>
      <c r="AA338"/>
      <c r="AB338"/>
      <c r="AC338"/>
      <c r="AD338"/>
    </row>
    <row r="339" spans="1:30" ht="16" hidden="1" thickBot="1">
      <c r="B339" s="101"/>
      <c r="C339" s="101"/>
      <c r="D339" s="101"/>
      <c r="F339" s="101"/>
      <c r="G339" s="101"/>
      <c r="H339" s="101"/>
      <c r="I339" s="101"/>
      <c r="J339" s="101"/>
      <c r="K339"/>
      <c r="L339"/>
      <c r="N339"/>
      <c r="O339" s="610"/>
    </row>
    <row r="340" spans="1:30" ht="15.5" hidden="1">
      <c r="B340" s="610"/>
      <c r="C340" s="621" t="s">
        <v>41</v>
      </c>
      <c r="D340" s="622" t="s">
        <v>125</v>
      </c>
      <c r="F340" s="101"/>
      <c r="G340" s="101"/>
      <c r="H340" s="101"/>
      <c r="I340" s="451"/>
      <c r="J340" s="451"/>
      <c r="K340" s="451"/>
      <c r="L340" s="451"/>
      <c r="M340" s="451"/>
      <c r="N340" s="451"/>
      <c r="O340" s="451"/>
      <c r="P340" s="451"/>
      <c r="Q340" s="451"/>
      <c r="R340" s="451"/>
      <c r="S340" s="451"/>
    </row>
    <row r="341" spans="1:30" ht="15.5" hidden="1">
      <c r="B341" s="733" t="s">
        <v>2930</v>
      </c>
      <c r="C341" s="611" t="e">
        <f>GETPIVOTDATA("%_of_TLS/CFS_with_a_designated_place_for_children_to_wash_hands_where_soap_is_available",$B$337)</f>
        <v>#REF!</v>
      </c>
      <c r="D341" s="612" t="e">
        <f>1-C341</f>
        <v>#REF!</v>
      </c>
      <c r="F341" s="101"/>
      <c r="G341" s="101"/>
      <c r="H341" s="101"/>
      <c r="I341" s="451"/>
      <c r="J341" s="451"/>
      <c r="K341" s="451"/>
      <c r="L341" s="451"/>
      <c r="M341" s="451"/>
      <c r="N341" s="451"/>
      <c r="O341" s="451"/>
      <c r="P341" s="451"/>
      <c r="Q341" s="451"/>
      <c r="R341" s="451"/>
      <c r="S341" s="451"/>
    </row>
    <row r="342" spans="1:30" ht="16" hidden="1" thickBot="1">
      <c r="B342" s="613"/>
      <c r="C342" s="614"/>
      <c r="D342" s="615"/>
      <c r="F342" s="101"/>
      <c r="G342" s="101"/>
      <c r="H342" s="101"/>
      <c r="I342" s="451"/>
      <c r="J342" s="451"/>
      <c r="K342" s="451"/>
      <c r="L342" s="451"/>
      <c r="M342" s="451"/>
      <c r="N342" s="451"/>
      <c r="O342" s="451"/>
      <c r="P342" s="451"/>
      <c r="Q342" s="451"/>
      <c r="R342" s="451"/>
      <c r="S342" s="451"/>
    </row>
    <row r="343" spans="1:30" ht="15.5" hidden="1">
      <c r="C343" s="101"/>
      <c r="D343" s="101"/>
      <c r="E343" s="101"/>
      <c r="F343" s="101"/>
      <c r="G343" s="101"/>
      <c r="H343" s="101"/>
      <c r="I343" s="451"/>
      <c r="J343" s="451"/>
      <c r="K343" s="451"/>
      <c r="L343" s="451"/>
      <c r="M343" s="451"/>
      <c r="N343" s="451"/>
      <c r="O343" s="451"/>
      <c r="P343" s="451"/>
      <c r="Q343" s="451"/>
      <c r="R343" s="451"/>
      <c r="S343" s="451"/>
    </row>
    <row r="344" spans="1:30" ht="15.5">
      <c r="C344" s="101"/>
      <c r="D344" s="101"/>
      <c r="E344" s="101"/>
      <c r="F344" s="101"/>
      <c r="G344" s="101"/>
      <c r="H344" s="101"/>
      <c r="I344" s="451"/>
      <c r="J344" s="451"/>
      <c r="K344" s="451"/>
      <c r="L344" s="451"/>
      <c r="M344" s="451"/>
      <c r="N344" s="451"/>
      <c r="O344" s="451"/>
      <c r="P344" s="451"/>
      <c r="Q344" s="451"/>
      <c r="R344" s="451"/>
      <c r="S344" s="451"/>
    </row>
    <row r="345" spans="1:30" ht="15.5">
      <c r="C345" s="101"/>
      <c r="D345" s="101"/>
      <c r="E345" s="101"/>
      <c r="F345" s="101"/>
      <c r="G345" s="101"/>
      <c r="H345" s="101"/>
      <c r="I345" s="451"/>
      <c r="J345" s="451"/>
      <c r="K345" s="451"/>
      <c r="L345" s="451"/>
      <c r="M345" s="451"/>
      <c r="N345" s="451"/>
      <c r="O345" s="451"/>
      <c r="P345" s="451"/>
      <c r="Q345" s="451"/>
      <c r="R345" s="451"/>
      <c r="S345" s="451"/>
    </row>
    <row r="346" spans="1:30" ht="15.5">
      <c r="C346" s="101"/>
      <c r="D346" s="101"/>
      <c r="E346" s="101"/>
      <c r="F346" s="101"/>
      <c r="G346" s="101"/>
      <c r="H346" s="101"/>
      <c r="I346" s="451"/>
      <c r="J346" s="451"/>
      <c r="K346" s="451"/>
      <c r="L346" s="451"/>
      <c r="M346" s="451"/>
      <c r="N346" s="451"/>
      <c r="O346" s="451"/>
      <c r="P346" s="451"/>
      <c r="Q346" s="451"/>
      <c r="R346" s="451"/>
      <c r="S346" s="451"/>
    </row>
    <row r="347" spans="1:30" ht="15.5">
      <c r="C347" s="101"/>
      <c r="D347" s="101"/>
      <c r="E347" s="101"/>
      <c r="F347" s="101"/>
      <c r="G347" s="101"/>
      <c r="H347" s="101"/>
      <c r="I347" s="451"/>
      <c r="J347" s="451"/>
      <c r="K347" s="451"/>
      <c r="L347" s="451"/>
      <c r="M347" s="451"/>
      <c r="N347" s="451"/>
      <c r="O347" s="451"/>
      <c r="P347" s="451"/>
      <c r="Q347" s="451"/>
      <c r="R347" s="451"/>
      <c r="S347" s="451"/>
    </row>
    <row r="348" spans="1:30" ht="18.5">
      <c r="A348" s="623" t="s">
        <v>2931</v>
      </c>
      <c r="B348" s="624"/>
      <c r="C348" s="624"/>
      <c r="D348" s="624"/>
      <c r="E348" s="624"/>
      <c r="F348" s="624"/>
      <c r="G348" s="624"/>
      <c r="H348" s="624"/>
      <c r="I348" s="624"/>
      <c r="J348" s="624"/>
      <c r="K348" s="624"/>
      <c r="L348" s="624"/>
      <c r="M348" s="624"/>
      <c r="N348" s="624"/>
      <c r="O348" s="624"/>
      <c r="P348" s="624"/>
      <c r="Q348" s="624"/>
      <c r="R348" s="624"/>
      <c r="S348" s="624"/>
      <c r="T348" s="624"/>
      <c r="U348" s="624"/>
      <c r="V348" s="624"/>
      <c r="W348" s="624"/>
      <c r="X348" s="624"/>
      <c r="Y348" s="624"/>
    </row>
    <row r="349" spans="1:30" ht="15.5">
      <c r="C349" s="101"/>
      <c r="D349" s="101"/>
      <c r="E349" s="101"/>
      <c r="F349" s="101"/>
      <c r="G349" s="101"/>
      <c r="H349" s="101"/>
      <c r="I349" s="101"/>
      <c r="J349" s="101"/>
      <c r="K349" s="101"/>
      <c r="L349"/>
      <c r="M349"/>
    </row>
    <row r="350" spans="1:30" ht="15.5">
      <c r="C350" s="101"/>
      <c r="D350" s="101"/>
      <c r="E350" s="101"/>
      <c r="F350" s="101"/>
      <c r="G350" s="101"/>
      <c r="H350" s="101"/>
      <c r="I350" s="101"/>
      <c r="J350" s="101"/>
      <c r="K350" s="101"/>
      <c r="L350"/>
      <c r="M350"/>
      <c r="N350"/>
      <c r="O350" s="101"/>
      <c r="P350" s="101"/>
    </row>
    <row r="351" spans="1:30">
      <c r="C351" s="101"/>
      <c r="D351" s="101"/>
      <c r="E351" s="101"/>
      <c r="F351" s="101"/>
      <c r="G351" s="101"/>
      <c r="H351" s="101"/>
      <c r="I351" s="101"/>
      <c r="J351" s="101"/>
      <c r="K351" s="927" t="s">
        <v>34</v>
      </c>
      <c r="L351" s="928" t="s">
        <v>34</v>
      </c>
      <c r="M351" s="101"/>
      <c r="N351" s="101"/>
    </row>
    <row r="352" spans="1:30">
      <c r="B352" s="927" t="s">
        <v>20</v>
      </c>
      <c r="C352" s="928" t="s">
        <v>3156</v>
      </c>
      <c r="D352" s="101"/>
      <c r="E352" s="101"/>
      <c r="G352" s="101"/>
      <c r="H352" s="101"/>
      <c r="I352" s="101"/>
      <c r="J352" s="101"/>
      <c r="K352" s="430"/>
      <c r="M352" s="101"/>
      <c r="N352" s="101"/>
    </row>
    <row r="353" spans="2:23" ht="15.5">
      <c r="B353" s="927" t="s">
        <v>34</v>
      </c>
      <c r="C353" s="928" t="s">
        <v>34</v>
      </c>
      <c r="D353" s="101"/>
      <c r="E353" s="101"/>
      <c r="G353" s="101"/>
      <c r="H353" s="101"/>
      <c r="I353" s="101"/>
      <c r="J353" s="101"/>
      <c r="K353" s="928"/>
      <c r="L353" s="927" t="s">
        <v>1866</v>
      </c>
      <c r="M353"/>
      <c r="N353"/>
      <c r="O353"/>
      <c r="P353" s="393"/>
      <c r="Q353" s="393"/>
      <c r="R353" s="393"/>
      <c r="S353" s="393"/>
      <c r="T353" s="393"/>
      <c r="U353" s="393"/>
      <c r="V353" s="393"/>
      <c r="W353" s="393"/>
    </row>
    <row r="354" spans="2:23" ht="15.5">
      <c r="B354" s="430"/>
      <c r="D354" s="101"/>
      <c r="E354" s="101"/>
      <c r="G354" s="101"/>
      <c r="H354" s="101"/>
      <c r="I354" s="101"/>
      <c r="J354" s="101"/>
      <c r="K354" s="927" t="s">
        <v>1867</v>
      </c>
      <c r="L354" s="928" t="s">
        <v>3156</v>
      </c>
      <c r="M354"/>
      <c r="N354"/>
      <c r="O354"/>
    </row>
    <row r="355" spans="2:23" ht="15.5">
      <c r="B355" s="928" t="s">
        <v>2933</v>
      </c>
      <c r="C355" s="928" t="s">
        <v>2934</v>
      </c>
      <c r="D355" s="928" t="s">
        <v>2932</v>
      </c>
      <c r="E355" s="928" t="s">
        <v>2958</v>
      </c>
      <c r="G355" s="101"/>
      <c r="H355" s="101"/>
      <c r="I355" s="101"/>
      <c r="J355" s="101"/>
      <c r="K355" s="930" t="s">
        <v>3060</v>
      </c>
      <c r="L355" s="932">
        <v>0.96142857142857152</v>
      </c>
      <c r="M355"/>
      <c r="N355"/>
      <c r="O355"/>
    </row>
    <row r="356" spans="2:23" ht="15.5">
      <c r="B356" s="932">
        <v>0.96142857142857152</v>
      </c>
      <c r="C356" s="932">
        <v>0.97428571428571431</v>
      </c>
      <c r="D356" s="932">
        <v>0.93285714285714294</v>
      </c>
      <c r="E356" s="932">
        <v>0.96714285714285708</v>
      </c>
      <c r="G356" s="101"/>
      <c r="H356" s="101"/>
      <c r="I356" s="101"/>
      <c r="J356" s="101"/>
      <c r="K356" s="930" t="s">
        <v>2936</v>
      </c>
      <c r="L356" s="932">
        <v>0.97428571428571431</v>
      </c>
      <c r="M356"/>
      <c r="N356"/>
      <c r="O356"/>
    </row>
    <row r="357" spans="2:23" ht="15.5">
      <c r="B357" s="101"/>
      <c r="C357" s="101"/>
      <c r="D357" s="101"/>
      <c r="E357" s="101"/>
      <c r="G357" s="101"/>
      <c r="H357" s="101"/>
      <c r="I357" s="101"/>
      <c r="J357" s="101"/>
      <c r="K357" s="930" t="s">
        <v>2937</v>
      </c>
      <c r="L357" s="932">
        <v>0.93285714285714294</v>
      </c>
      <c r="M357"/>
      <c r="N357"/>
      <c r="O357"/>
    </row>
    <row r="358" spans="2:23" ht="15.5">
      <c r="D358" s="101"/>
      <c r="E358" s="101"/>
      <c r="G358" s="101"/>
      <c r="H358" s="101"/>
      <c r="I358" s="101"/>
      <c r="J358" s="101"/>
      <c r="K358" s="930" t="s">
        <v>2959</v>
      </c>
      <c r="L358" s="932">
        <v>0.96714285714285708</v>
      </c>
      <c r="M358"/>
      <c r="N358"/>
      <c r="O358"/>
    </row>
    <row r="359" spans="2:23" ht="15.5">
      <c r="C359" s="616" t="s">
        <v>41</v>
      </c>
      <c r="D359" s="101" t="s">
        <v>125</v>
      </c>
      <c r="E359" s="101"/>
      <c r="G359" s="101"/>
      <c r="H359" s="101"/>
      <c r="I359" s="101"/>
      <c r="J359" s="101"/>
      <c r="K359" s="101"/>
      <c r="L359"/>
      <c r="M359"/>
    </row>
    <row r="360" spans="2:23" ht="15.5">
      <c r="B360" s="625" t="s">
        <v>2935</v>
      </c>
      <c r="C360" s="626">
        <f>GETPIVOTDATA("Average of %_of_affected_people_surveyed_who_report_feeling_satistfied_with_the_latrine_design_and_sanitation_service",$B$355)</f>
        <v>0.96142857142857152</v>
      </c>
      <c r="D360" s="626">
        <f>1-C360</f>
        <v>3.8571428571428479E-2</v>
      </c>
      <c r="E360" s="101"/>
      <c r="G360" s="101"/>
      <c r="H360" s="101"/>
      <c r="I360" s="101"/>
      <c r="J360" s="101"/>
      <c r="K360" s="101"/>
      <c r="L360"/>
      <c r="M360"/>
    </row>
    <row r="361" spans="2:23" ht="15.5">
      <c r="B361" s="617" t="s">
        <v>2936</v>
      </c>
      <c r="C361" s="619">
        <f>GETPIVOTDATA("Average of %_of_affected_people_surveyed_who_report_feeling_satistfied_with_the_water_point_design_and_water_service",$B$355)</f>
        <v>0.97428571428571431</v>
      </c>
      <c r="D361" s="619">
        <f t="shared" ref="D361:D363" si="2">1-C361</f>
        <v>2.571428571428569E-2</v>
      </c>
      <c r="E361" s="101"/>
      <c r="G361" s="101"/>
      <c r="H361" s="101"/>
      <c r="I361" s="101"/>
      <c r="J361" s="101"/>
      <c r="K361" s="101"/>
      <c r="L361"/>
      <c r="M361"/>
    </row>
    <row r="362" spans="2:23">
      <c r="B362" s="618" t="s">
        <v>2937</v>
      </c>
      <c r="C362" s="620">
        <f>GETPIVOTDATA("Average of %_of_complaints_received_that_result_in_timely_corrective_action_and_feedback_to_the_community",$B$355)</f>
        <v>0.93285714285714294</v>
      </c>
      <c r="D362" s="620">
        <f t="shared" si="2"/>
        <v>6.714285714285706E-2</v>
      </c>
      <c r="E362" s="101"/>
      <c r="G362" s="101"/>
      <c r="H362" s="101"/>
      <c r="I362" s="101"/>
      <c r="J362" s="101"/>
      <c r="K362" s="781" t="s">
        <v>1867</v>
      </c>
      <c r="L362" s="617" t="s">
        <v>3052</v>
      </c>
      <c r="M362" s="617" t="s">
        <v>3053</v>
      </c>
      <c r="N362" s="617" t="s">
        <v>3054</v>
      </c>
      <c r="O362" s="617" t="s">
        <v>3055</v>
      </c>
      <c r="R362" s="786" t="s">
        <v>3047</v>
      </c>
    </row>
    <row r="363" spans="2:23">
      <c r="B363" s="618" t="s">
        <v>2959</v>
      </c>
      <c r="C363" s="620">
        <f>GETPIVOTDATA("Average of %_of_affected_people_surveyed_who_report_feeling_informed_about_the_different_WASH_services_available_to_them",$B$355)</f>
        <v>0.96714285714285708</v>
      </c>
      <c r="D363" s="620">
        <f t="shared" si="2"/>
        <v>3.2857142857142918E-2</v>
      </c>
      <c r="E363" s="101"/>
      <c r="G363" s="101"/>
      <c r="H363" s="101"/>
      <c r="I363" s="101"/>
      <c r="J363" s="101"/>
      <c r="K363" s="782" t="s">
        <v>3060</v>
      </c>
      <c r="L363" s="620">
        <v>0.95600000000000007</v>
      </c>
      <c r="M363" s="787">
        <v>0.92437500000000006</v>
      </c>
      <c r="N363" s="787">
        <v>0.92222222222222228</v>
      </c>
      <c r="O363" s="788">
        <v>0.9394117647058825</v>
      </c>
      <c r="P363" s="784">
        <f>AVERAGE(L363:O363)</f>
        <v>0.9355022467320262</v>
      </c>
      <c r="Q363" s="784"/>
      <c r="R363" s="785"/>
    </row>
    <row r="364" spans="2:23">
      <c r="C364" s="101"/>
      <c r="D364" s="101"/>
      <c r="E364" s="101"/>
      <c r="F364" s="101"/>
      <c r="G364" s="101"/>
      <c r="H364" s="101"/>
      <c r="I364" s="101"/>
      <c r="J364" s="101"/>
      <c r="K364" s="782" t="s">
        <v>2936</v>
      </c>
      <c r="L364" s="809">
        <v>0.96400000000000008</v>
      </c>
      <c r="M364" s="789">
        <v>0.95062500000000005</v>
      </c>
      <c r="N364" s="789">
        <v>0.96277777777777773</v>
      </c>
      <c r="O364" s="790">
        <v>0.96705882352941186</v>
      </c>
      <c r="P364" s="784">
        <f t="shared" ref="P364:P366" si="3">AVERAGE(L364:O364)</f>
        <v>0.96111540032679743</v>
      </c>
      <c r="Q364" s="784">
        <f>AVERAGE(P363:P364)</f>
        <v>0.94830882352941182</v>
      </c>
      <c r="R364" s="784">
        <v>0.64174968071519789</v>
      </c>
      <c r="S364" s="783">
        <f>AVERAGE(Q364:R364)</f>
        <v>0.7950292521223048</v>
      </c>
    </row>
    <row r="365" spans="2:23">
      <c r="C365" s="101"/>
      <c r="D365" s="101"/>
      <c r="E365" s="101"/>
      <c r="F365" s="101"/>
      <c r="G365" s="101"/>
      <c r="H365" s="101"/>
      <c r="I365" s="101"/>
      <c r="J365" s="101"/>
      <c r="K365" s="782" t="s">
        <v>2937</v>
      </c>
      <c r="L365" s="620">
        <v>0.91363636363636369</v>
      </c>
      <c r="M365" s="787">
        <v>0.90750000000000008</v>
      </c>
      <c r="N365" s="787">
        <v>0.79785714285714282</v>
      </c>
      <c r="O365" s="788">
        <v>0.89235294117647057</v>
      </c>
      <c r="P365" s="97">
        <f t="shared" si="3"/>
        <v>0.87783661191749429</v>
      </c>
      <c r="R365" s="97">
        <v>0.42</v>
      </c>
      <c r="S365" s="783">
        <f>AVERAGE(P365:R365)</f>
        <v>0.64891830595874711</v>
      </c>
    </row>
    <row r="366" spans="2:23">
      <c r="C366" s="101"/>
      <c r="D366" s="101"/>
      <c r="E366" s="101"/>
      <c r="F366" s="101"/>
      <c r="G366" s="101"/>
      <c r="H366" s="101"/>
      <c r="I366" s="101"/>
      <c r="J366" s="101"/>
      <c r="K366" s="782" t="s">
        <v>2959</v>
      </c>
      <c r="L366" s="809">
        <v>0.66583333333333339</v>
      </c>
      <c r="M366" s="789">
        <v>0</v>
      </c>
      <c r="N366" s="789">
        <v>0.87942760942760934</v>
      </c>
      <c r="O366" s="790">
        <v>0.98499999999999988</v>
      </c>
      <c r="P366" s="97">
        <f t="shared" si="3"/>
        <v>0.63256523569023559</v>
      </c>
    </row>
    <row r="367" spans="2:23">
      <c r="C367" s="746"/>
      <c r="D367" s="746"/>
      <c r="E367" s="101"/>
      <c r="F367" s="101"/>
      <c r="G367" s="101"/>
      <c r="H367" s="101"/>
      <c r="I367" s="101"/>
      <c r="J367" s="101"/>
      <c r="K367" s="101"/>
    </row>
    <row r="368" spans="2:23">
      <c r="C368" s="746"/>
      <c r="D368" s="746"/>
      <c r="E368" s="101"/>
      <c r="F368" s="101"/>
      <c r="G368" s="101"/>
      <c r="H368" s="101"/>
      <c r="I368" s="101"/>
      <c r="J368" s="101"/>
      <c r="K368" s="101"/>
    </row>
    <row r="369" spans="3:33">
      <c r="C369" s="746"/>
      <c r="D369" s="746"/>
      <c r="E369" s="101"/>
      <c r="F369" s="101"/>
      <c r="G369" s="101"/>
      <c r="H369" s="101"/>
      <c r="I369" s="101"/>
      <c r="J369" s="101"/>
      <c r="K369" s="101"/>
    </row>
    <row r="370" spans="3:33">
      <c r="C370" s="430"/>
      <c r="E370" s="101"/>
      <c r="F370" s="101"/>
      <c r="G370" s="101"/>
      <c r="H370" s="101"/>
      <c r="I370" s="101"/>
      <c r="J370" s="101"/>
      <c r="K370" s="101"/>
    </row>
    <row r="371" spans="3:33" ht="15.5">
      <c r="C371"/>
      <c r="D371"/>
      <c r="E371"/>
      <c r="F371"/>
      <c r="G371"/>
      <c r="H371"/>
      <c r="I371" s="101"/>
      <c r="J371" s="603"/>
      <c r="K371" s="60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row>
    <row r="372" spans="3:33" ht="15.5">
      <c r="C372"/>
      <c r="D372"/>
      <c r="E372"/>
      <c r="F372"/>
      <c r="G372"/>
      <c r="H372"/>
      <c r="I372" s="663"/>
      <c r="J372" s="101"/>
      <c r="K372" s="101"/>
    </row>
    <row r="373" spans="3:33" ht="15.5">
      <c r="C373"/>
      <c r="D373"/>
      <c r="E373"/>
      <c r="F373"/>
      <c r="G373"/>
      <c r="H373"/>
      <c r="I373" s="663"/>
      <c r="J373" s="101"/>
      <c r="K373" s="101"/>
    </row>
    <row r="374" spans="3:33" ht="15.5">
      <c r="C374"/>
      <c r="D374"/>
      <c r="E374"/>
      <c r="F374"/>
      <c r="G374"/>
      <c r="H374"/>
      <c r="I374" s="663"/>
      <c r="J374" s="101"/>
      <c r="K374" s="101"/>
    </row>
    <row r="375" spans="3:33" ht="15.5">
      <c r="C375"/>
      <c r="D375"/>
      <c r="E375"/>
      <c r="F375"/>
      <c r="G375"/>
      <c r="H375"/>
      <c r="I375" s="101"/>
      <c r="J375" s="101"/>
      <c r="K375" s="101"/>
    </row>
    <row r="376" spans="3:33" ht="15.5">
      <c r="C376"/>
      <c r="D376"/>
      <c r="E376"/>
      <c r="F376"/>
      <c r="G376"/>
      <c r="H376"/>
      <c r="I376" s="101"/>
      <c r="J376" s="101"/>
      <c r="K376" s="101"/>
    </row>
    <row r="377" spans="3:33">
      <c r="C377" s="101"/>
      <c r="D377" s="101"/>
      <c r="E377" s="101"/>
      <c r="F377" s="101"/>
      <c r="G377" s="101"/>
      <c r="H377" s="101"/>
      <c r="I377" s="101"/>
      <c r="J377" s="101"/>
      <c r="K377" s="101"/>
    </row>
    <row r="378" spans="3:33">
      <c r="C378" s="101"/>
      <c r="D378" s="101"/>
      <c r="E378" s="101"/>
      <c r="F378" s="101"/>
      <c r="G378" s="675"/>
      <c r="H378" s="101"/>
      <c r="I378" s="101"/>
      <c r="J378" s="101"/>
      <c r="K378" s="101"/>
    </row>
    <row r="379" spans="3:33" ht="15.5">
      <c r="C379" s="451"/>
      <c r="D379" s="101"/>
      <c r="E379" s="101"/>
      <c r="F379" s="101"/>
      <c r="G379" s="101"/>
      <c r="H379" s="101"/>
      <c r="I379" s="101"/>
      <c r="J379" s="101"/>
      <c r="K379" s="101"/>
    </row>
    <row r="380" spans="3:33" ht="15.5">
      <c r="C380" s="451"/>
      <c r="D380" s="101"/>
      <c r="E380" s="101"/>
      <c r="F380" s="101"/>
      <c r="G380" s="101"/>
      <c r="H380" s="101"/>
      <c r="I380" s="101"/>
      <c r="J380" s="101"/>
      <c r="K380" s="101"/>
    </row>
    <row r="381" spans="3:33" ht="15.5">
      <c r="C381" s="451"/>
      <c r="D381" s="101"/>
      <c r="E381" s="101"/>
      <c r="F381" s="101"/>
      <c r="G381" s="101"/>
      <c r="H381" s="101"/>
      <c r="I381" s="101"/>
      <c r="J381" s="101"/>
      <c r="K381" s="101"/>
    </row>
    <row r="382" spans="3:33">
      <c r="C382" s="101"/>
      <c r="D382" s="101"/>
      <c r="E382" s="101"/>
      <c r="F382" s="101"/>
      <c r="G382" s="101"/>
      <c r="H382" s="101"/>
      <c r="I382" s="101"/>
      <c r="J382" s="101"/>
      <c r="K382" s="101"/>
    </row>
    <row r="383" spans="3:33">
      <c r="C383" s="101"/>
      <c r="D383" s="101"/>
      <c r="E383" s="101"/>
      <c r="F383" s="101"/>
      <c r="G383" s="101"/>
      <c r="H383" s="101"/>
      <c r="I383" s="101"/>
      <c r="J383" s="101"/>
      <c r="K383" s="101"/>
    </row>
    <row r="384" spans="3:33">
      <c r="C384" s="746"/>
      <c r="D384" s="746"/>
      <c r="E384" s="101"/>
      <c r="F384" s="101"/>
      <c r="G384" s="101"/>
      <c r="H384" s="101"/>
      <c r="I384" s="101"/>
      <c r="J384" s="101"/>
      <c r="K384" s="101"/>
    </row>
    <row r="385" spans="3:11">
      <c r="C385" s="746"/>
      <c r="D385" s="746"/>
      <c r="E385" s="101"/>
      <c r="F385" s="101"/>
      <c r="G385" s="101"/>
      <c r="H385" s="101"/>
      <c r="I385" s="101"/>
      <c r="J385" s="101"/>
      <c r="K385" s="101"/>
    </row>
    <row r="386" spans="3:11">
      <c r="C386" s="746"/>
      <c r="D386" s="746"/>
      <c r="E386" s="101"/>
      <c r="F386" s="101"/>
      <c r="G386" s="101"/>
      <c r="H386" s="101"/>
      <c r="I386" s="101"/>
      <c r="J386" s="101"/>
      <c r="K386" s="101"/>
    </row>
    <row r="387" spans="3:11">
      <c r="C387" s="430"/>
      <c r="E387" s="101"/>
      <c r="F387" s="101"/>
      <c r="G387" s="101"/>
      <c r="H387" s="101"/>
      <c r="I387" s="101"/>
      <c r="J387" s="101"/>
      <c r="K387" s="101"/>
    </row>
    <row r="388" spans="3:11" ht="15.5">
      <c r="C388"/>
      <c r="D388"/>
      <c r="E388"/>
      <c r="F388"/>
      <c r="G388"/>
      <c r="H388"/>
      <c r="I388" s="101"/>
      <c r="J388" s="603"/>
      <c r="K388" s="603"/>
    </row>
    <row r="389" spans="3:11" ht="15.5">
      <c r="C389"/>
      <c r="D389"/>
      <c r="E389"/>
      <c r="F389"/>
      <c r="G389"/>
      <c r="H389"/>
      <c r="I389" s="101"/>
      <c r="J389" s="101"/>
      <c r="K389" s="101"/>
    </row>
    <row r="390" spans="3:11" ht="15.5">
      <c r="C390"/>
      <c r="D390"/>
      <c r="E390"/>
      <c r="F390"/>
      <c r="G390"/>
      <c r="H390"/>
      <c r="I390" s="101"/>
      <c r="J390" s="101"/>
      <c r="K390" s="101"/>
    </row>
    <row r="391" spans="3:11" ht="15.5">
      <c r="C391"/>
      <c r="D391"/>
      <c r="E391"/>
      <c r="F391"/>
      <c r="G391"/>
      <c r="H391"/>
      <c r="I391" s="101"/>
      <c r="J391" s="101"/>
      <c r="K391" s="101"/>
    </row>
    <row r="392" spans="3:11" ht="15.5">
      <c r="C392"/>
      <c r="D392"/>
      <c r="E392"/>
      <c r="F392"/>
      <c r="G392"/>
      <c r="H392"/>
      <c r="I392" s="101"/>
      <c r="J392" s="101"/>
      <c r="K392" s="101"/>
    </row>
    <row r="393" spans="3:11" ht="15.5">
      <c r="C393"/>
      <c r="D393"/>
      <c r="E393"/>
      <c r="F393"/>
      <c r="G393"/>
      <c r="H393"/>
      <c r="I393" s="101"/>
      <c r="J393" s="101"/>
      <c r="K393" s="101"/>
    </row>
    <row r="394" spans="3:11">
      <c r="C394" s="101"/>
      <c r="D394" s="101"/>
      <c r="E394" s="101"/>
      <c r="F394" s="101"/>
      <c r="G394" s="101"/>
      <c r="H394" s="101"/>
      <c r="I394" s="101"/>
      <c r="J394" s="101"/>
      <c r="K394" s="101"/>
    </row>
    <row r="395" spans="3:11" ht="15.5">
      <c r="C395" s="451"/>
      <c r="D395" s="451"/>
      <c r="E395" s="451"/>
      <c r="F395" s="101"/>
      <c r="G395" s="101"/>
      <c r="H395" s="101"/>
      <c r="I395" s="101"/>
      <c r="J395" s="101"/>
      <c r="K395" s="101"/>
    </row>
    <row r="396" spans="3:11" ht="15.5">
      <c r="C396" s="451"/>
      <c r="D396" s="451"/>
      <c r="E396" s="451"/>
      <c r="F396" s="101"/>
      <c r="G396" s="101"/>
      <c r="H396" s="101"/>
      <c r="I396" s="101"/>
      <c r="J396" s="101"/>
      <c r="K396" s="101"/>
    </row>
    <row r="397" spans="3:11" ht="15.5">
      <c r="C397" s="451"/>
      <c r="D397" s="451"/>
      <c r="E397" s="451"/>
      <c r="F397" s="101"/>
      <c r="G397" s="101"/>
      <c r="H397" s="101"/>
      <c r="I397" s="101"/>
      <c r="J397" s="101"/>
      <c r="K397" s="101"/>
    </row>
    <row r="398" spans="3:11" ht="15.5">
      <c r="C398" s="451"/>
      <c r="D398" s="451"/>
      <c r="E398" s="451"/>
      <c r="F398" s="101"/>
      <c r="G398" s="101"/>
      <c r="H398" s="101"/>
      <c r="I398" s="101"/>
      <c r="J398" s="101"/>
      <c r="K398" s="101"/>
    </row>
    <row r="399" spans="3:11" ht="15.5">
      <c r="C399" s="451"/>
      <c r="D399" s="451"/>
      <c r="E399" s="451"/>
      <c r="F399" s="101"/>
      <c r="G399" s="101"/>
      <c r="H399" s="101"/>
      <c r="I399" s="101"/>
      <c r="J399" s="101"/>
      <c r="K399" s="101"/>
    </row>
    <row r="400" spans="3:11" ht="15.5">
      <c r="C400" s="451"/>
      <c r="D400" s="451"/>
      <c r="E400" s="451"/>
      <c r="F400" s="101"/>
      <c r="G400" s="101"/>
      <c r="H400" s="101"/>
      <c r="I400" s="101"/>
      <c r="J400" s="101"/>
      <c r="K400" s="101"/>
    </row>
    <row r="401" spans="3:11" ht="15.5">
      <c r="C401" s="451"/>
      <c r="D401" s="451"/>
      <c r="E401" s="451"/>
      <c r="F401" s="101"/>
      <c r="G401" s="101"/>
      <c r="H401" s="101"/>
      <c r="I401" s="101"/>
      <c r="J401" s="101"/>
      <c r="K401" s="101"/>
    </row>
    <row r="402" spans="3:11" ht="15.5">
      <c r="C402" s="451"/>
      <c r="D402" s="451"/>
      <c r="E402" s="451"/>
      <c r="F402" s="101"/>
      <c r="G402" s="101"/>
      <c r="H402" s="101"/>
      <c r="I402" s="101"/>
      <c r="J402" s="101"/>
      <c r="K402" s="101"/>
    </row>
    <row r="403" spans="3:11" ht="15.5">
      <c r="C403" s="451"/>
      <c r="D403" s="451"/>
      <c r="E403" s="451"/>
      <c r="F403" s="101"/>
      <c r="G403" s="101"/>
      <c r="H403" s="101"/>
      <c r="I403" s="101"/>
      <c r="J403" s="101"/>
      <c r="K403" s="101"/>
    </row>
    <row r="404" spans="3:11">
      <c r="C404" s="101"/>
      <c r="D404" s="101"/>
      <c r="E404" s="101"/>
      <c r="F404" s="101"/>
      <c r="G404" s="101"/>
      <c r="H404" s="101"/>
      <c r="I404" s="101"/>
      <c r="J404" s="101"/>
      <c r="K404" s="101"/>
    </row>
  </sheetData>
  <mergeCells count="1">
    <mergeCell ref="S45:T45"/>
  </mergeCells>
  <phoneticPr fontId="147" type="noConversion"/>
  <conditionalFormatting pivot="1">
    <cfRule type="iconSet" priority="9">
      <iconSet reverse="1">
        <cfvo type="percent" val="0"/>
        <cfvo type="percent" val="3"/>
        <cfvo type="percent" val="5"/>
      </iconSet>
    </cfRule>
  </conditionalFormatting>
  <conditionalFormatting sqref="G388">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1"/>
  <drawing r:id="rId32"/>
  <extLst>
    <ext xmlns:x14="http://schemas.microsoft.com/office/spreadsheetml/2009/9/main" uri="{A8765BA9-456A-4dab-B4F3-ACF838C121DE}">
      <x14:slicerList>
        <x14:slicer r:id="rId3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G1" zoomScale="80" zoomScaleNormal="80" workbookViewId="0">
      <selection activeCell="AA16" sqref="AA16"/>
    </sheetView>
  </sheetViews>
  <sheetFormatPr defaultColWidth="9" defaultRowHeight="15.5"/>
  <cols>
    <col min="1" max="1" width="31.83203125" style="57" bestFit="1" customWidth="1"/>
    <col min="2" max="2" width="14.08203125" style="57" bestFit="1" customWidth="1"/>
    <col min="3" max="3" width="9.9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387" t="s">
        <v>20</v>
      </c>
      <c r="B27" s="57" t="s">
        <v>3156</v>
      </c>
    </row>
    <row r="28" spans="1:7" hidden="1"/>
    <row r="29" spans="1:7" s="84" customFormat="1" ht="31" hidden="1">
      <c r="A29" s="904" t="s">
        <v>21</v>
      </c>
      <c r="B29" s="904" t="s">
        <v>22</v>
      </c>
      <c r="C29" s="885" t="s">
        <v>1918</v>
      </c>
      <c r="D29" s="57" t="s">
        <v>2648</v>
      </c>
      <c r="E29" s="57" t="s">
        <v>2647</v>
      </c>
      <c r="F29" s="57" t="s">
        <v>2646</v>
      </c>
      <c r="G29"/>
    </row>
    <row r="30" spans="1:7" hidden="1">
      <c r="A30" s="57" t="s">
        <v>293</v>
      </c>
      <c r="B30" s="57" t="s">
        <v>356</v>
      </c>
      <c r="C30" s="879">
        <v>1067</v>
      </c>
      <c r="D30" s="879">
        <v>1067</v>
      </c>
      <c r="E30" s="879">
        <v>1067</v>
      </c>
      <c r="F30" s="879">
        <v>1067</v>
      </c>
      <c r="G30"/>
    </row>
    <row r="31" spans="1:7" hidden="1">
      <c r="B31" s="57" t="s">
        <v>398</v>
      </c>
      <c r="C31" s="879">
        <v>2920</v>
      </c>
      <c r="D31" s="879">
        <v>0</v>
      </c>
      <c r="E31" s="879">
        <v>2920</v>
      </c>
      <c r="F31" s="879">
        <v>0</v>
      </c>
      <c r="G31"/>
    </row>
    <row r="32" spans="1:7" hidden="1">
      <c r="B32" s="57" t="s">
        <v>401</v>
      </c>
      <c r="C32" s="879">
        <v>24484</v>
      </c>
      <c r="D32" s="879">
        <v>25636</v>
      </c>
      <c r="E32" s="879">
        <v>17905</v>
      </c>
      <c r="F32" s="879">
        <v>24484</v>
      </c>
      <c r="G32"/>
    </row>
    <row r="33" spans="1:7" hidden="1">
      <c r="B33" s="57" t="s">
        <v>294</v>
      </c>
      <c r="C33" s="879">
        <v>86874</v>
      </c>
      <c r="D33" s="879">
        <v>25103</v>
      </c>
      <c r="E33" s="879">
        <v>75960</v>
      </c>
      <c r="F33" s="879">
        <v>86874</v>
      </c>
      <c r="G33"/>
    </row>
    <row r="34" spans="1:7" hidden="1">
      <c r="A34" s="57" t="s">
        <v>3008</v>
      </c>
      <c r="C34" s="879">
        <v>115345</v>
      </c>
      <c r="D34" s="879">
        <v>51806</v>
      </c>
      <c r="E34" s="879">
        <v>97852</v>
      </c>
      <c r="F34" s="879">
        <v>112425</v>
      </c>
      <c r="G34"/>
    </row>
    <row r="35" spans="1:7" hidden="1">
      <c r="A35" s="57" t="s">
        <v>1621</v>
      </c>
      <c r="C35" s="879">
        <v>115345</v>
      </c>
      <c r="D35" s="879">
        <v>51806</v>
      </c>
      <c r="E35" s="879">
        <v>97852</v>
      </c>
      <c r="F35" s="879">
        <v>112425</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3"/>
  <sheetViews>
    <sheetView showGridLines="0" view="pageBreakPreview" topLeftCell="A20" zoomScale="93" zoomScaleNormal="60" zoomScaleSheetLayoutView="93" zoomScalePageLayoutView="80" workbookViewId="0">
      <selection activeCell="E70" sqref="E70"/>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7"/>
      <c r="B1" s="1012" t="s">
        <v>3191</v>
      </c>
      <c r="C1" s="1012"/>
      <c r="D1" s="1012"/>
      <c r="E1" s="1012"/>
      <c r="F1" s="1012"/>
      <c r="G1" s="1012"/>
      <c r="H1" s="1012"/>
      <c r="I1" s="1012"/>
      <c r="J1" s="1012"/>
      <c r="K1" s="1012"/>
      <c r="L1" s="1012"/>
      <c r="M1" s="1012"/>
      <c r="N1" s="1012"/>
      <c r="O1" s="1012"/>
      <c r="P1" s="1012"/>
      <c r="Q1" s="1012"/>
      <c r="R1" s="1012"/>
      <c r="S1" s="1012"/>
      <c r="T1" s="1012"/>
      <c r="U1" s="1012"/>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50" spans="2:27" ht="15.5">
      <c r="V50"/>
    </row>
    <row r="51" spans="2:27" ht="15.5">
      <c r="V51" s="451"/>
      <c r="W51" s="451"/>
    </row>
    <row r="52" spans="2:27" ht="15.5">
      <c r="V52" s="451"/>
      <c r="W52" s="451"/>
    </row>
    <row r="53" spans="2:27" ht="15.5">
      <c r="V53" s="451"/>
      <c r="W53" s="451"/>
    </row>
    <row r="54" spans="2:27" ht="20.5" customHeight="1">
      <c r="V54" s="451"/>
      <c r="W54" s="451"/>
    </row>
    <row r="55" spans="2:27" ht="20" customHeight="1"/>
    <row r="57" spans="2:27" ht="15.5">
      <c r="X57"/>
      <c r="Y57"/>
    </row>
    <row r="58" spans="2:27" ht="21.75" customHeight="1">
      <c r="B58" s="641"/>
      <c r="C58" s="641"/>
      <c r="D58" s="641"/>
      <c r="E58" s="641"/>
      <c r="F58" s="641"/>
      <c r="G58" s="641"/>
      <c r="V58" s="160"/>
      <c r="W58"/>
      <c r="X58"/>
      <c r="Y58"/>
      <c r="Z58"/>
    </row>
    <row r="59" spans="2:27" ht="15.5">
      <c r="V59" s="160"/>
      <c r="W59" s="350"/>
      <c r="X59" s="350"/>
      <c r="Y59" s="350"/>
      <c r="Z59"/>
    </row>
    <row r="60" spans="2:27" ht="15.5">
      <c r="V60" s="451"/>
      <c r="W60" s="451"/>
      <c r="Y60" s="350"/>
      <c r="Z60"/>
    </row>
    <row r="61" spans="2:27" s="457" customFormat="1" ht="15.5">
      <c r="V61" s="468"/>
      <c r="W61" s="468"/>
      <c r="Y61" s="468"/>
      <c r="Z61" s="468"/>
    </row>
    <row r="62" spans="2:27" s="457" customFormat="1" ht="25.5" customHeight="1">
      <c r="W62" s="468"/>
      <c r="X62" s="468"/>
      <c r="Z62" s="468"/>
      <c r="AA62" s="468"/>
    </row>
    <row r="63" spans="2:27" s="457" customFormat="1" ht="15.5">
      <c r="W63" s="468"/>
      <c r="X63" s="468"/>
      <c r="Z63" s="468"/>
      <c r="AA63" s="468"/>
    </row>
    <row r="64" spans="2:27" s="457" customFormat="1" ht="23.25" customHeight="1">
      <c r="W64" s="468"/>
      <c r="X64" s="468"/>
      <c r="Z64" s="468"/>
      <c r="AA64" s="468"/>
    </row>
    <row r="65" spans="2:27" ht="61" customHeight="1">
      <c r="B65" s="814" t="s">
        <v>3059</v>
      </c>
      <c r="C65" s="642" t="s">
        <v>1893</v>
      </c>
      <c r="D65" s="642" t="s">
        <v>3012</v>
      </c>
      <c r="E65" s="643" t="s">
        <v>1871</v>
      </c>
      <c r="F65" s="643" t="s">
        <v>1894</v>
      </c>
      <c r="G65" s="643" t="s">
        <v>1895</v>
      </c>
      <c r="H65" s="644" t="s">
        <v>1896</v>
      </c>
      <c r="W65" s="451"/>
      <c r="X65" s="451"/>
      <c r="Z65" s="350"/>
      <c r="AA65"/>
    </row>
    <row r="66" spans="2:27" ht="15.5">
      <c r="B66" s="628" t="s">
        <v>356</v>
      </c>
      <c r="C66" s="629" t="s">
        <v>2256</v>
      </c>
      <c r="D66" s="629">
        <v>1</v>
      </c>
      <c r="E66" s="630">
        <v>1067</v>
      </c>
      <c r="F66" s="631">
        <v>0</v>
      </c>
      <c r="G66" s="631">
        <v>0</v>
      </c>
      <c r="H66" s="631">
        <v>0</v>
      </c>
      <c r="W66" s="451"/>
      <c r="X66" s="451"/>
      <c r="Z66" s="350"/>
      <c r="AA66"/>
    </row>
    <row r="67" spans="2:27" ht="26.25" customHeight="1">
      <c r="B67" s="628" t="s">
        <v>398</v>
      </c>
      <c r="C67" s="629" t="s">
        <v>397</v>
      </c>
      <c r="D67" s="629">
        <v>1</v>
      </c>
      <c r="E67" s="630">
        <v>2920</v>
      </c>
      <c r="F67" s="631">
        <v>1</v>
      </c>
      <c r="G67" s="631">
        <v>0</v>
      </c>
      <c r="H67" s="632">
        <v>1</v>
      </c>
      <c r="W67" s="451"/>
      <c r="X67" s="451"/>
      <c r="Y67" s="350"/>
      <c r="Z67" s="350"/>
      <c r="AA67"/>
    </row>
    <row r="68" spans="2:27" ht="26.25" customHeight="1">
      <c r="B68" s="628" t="s">
        <v>401</v>
      </c>
      <c r="C68" s="629" t="s">
        <v>3056</v>
      </c>
      <c r="D68" s="629">
        <v>5</v>
      </c>
      <c r="E68" s="630">
        <v>24484</v>
      </c>
      <c r="F68" s="631">
        <v>0</v>
      </c>
      <c r="G68" s="631">
        <v>0.2687060937755269</v>
      </c>
      <c r="H68" s="631">
        <v>0</v>
      </c>
      <c r="V68" s="451"/>
      <c r="W68" s="451"/>
      <c r="X68" s="350"/>
      <c r="Y68" s="350"/>
      <c r="Z68"/>
    </row>
    <row r="69" spans="2:27" ht="31.5" thickBot="1">
      <c r="B69" s="633" t="s">
        <v>294</v>
      </c>
      <c r="C69" s="634" t="s">
        <v>3045</v>
      </c>
      <c r="D69" s="634">
        <v>14</v>
      </c>
      <c r="E69" s="635">
        <v>86874</v>
      </c>
      <c r="F69" s="636">
        <v>0</v>
      </c>
      <c r="G69" s="636">
        <v>0.12563022308170457</v>
      </c>
      <c r="H69" s="791">
        <v>0.71104127817298624</v>
      </c>
      <c r="V69" s="451"/>
      <c r="W69" s="451"/>
      <c r="X69" s="350"/>
      <c r="Y69" s="350"/>
      <c r="Z69"/>
    </row>
    <row r="70" spans="2:27" ht="16" thickTop="1">
      <c r="B70" s="637" t="s">
        <v>1872</v>
      </c>
      <c r="C70" s="638" t="s">
        <v>1902</v>
      </c>
      <c r="D70" s="638">
        <v>21</v>
      </c>
      <c r="E70" s="639">
        <v>115345</v>
      </c>
      <c r="F70" s="761">
        <v>2.5315358273007016E-2</v>
      </c>
      <c r="G70" s="640">
        <v>0.15165806927044956</v>
      </c>
      <c r="H70" s="761">
        <v>0.55086046209198491</v>
      </c>
      <c r="V70" s="451"/>
      <c r="W70" s="451"/>
      <c r="X70" s="350"/>
      <c r="Y70" s="350"/>
      <c r="Z70"/>
    </row>
    <row r="71" spans="2:27" ht="15.5">
      <c r="W71" s="350"/>
      <c r="X71" s="350"/>
      <c r="Y71" s="350"/>
      <c r="Z71"/>
    </row>
    <row r="72" spans="2:27" ht="15.5">
      <c r="W72" s="350"/>
      <c r="X72" s="350"/>
      <c r="Y72" s="350"/>
      <c r="Z72"/>
    </row>
    <row r="73" spans="2:27" ht="15.5">
      <c r="V73" s="350"/>
      <c r="W73" s="350"/>
      <c r="X73" s="350"/>
      <c r="Y73" s="350"/>
      <c r="Z73" s="350"/>
    </row>
    <row r="74" spans="2:27" ht="15.5">
      <c r="V74" s="350"/>
      <c r="W74" s="350"/>
      <c r="X74" s="350"/>
      <c r="Y74" s="350"/>
      <c r="Z74" s="350"/>
    </row>
    <row r="75" spans="2:27" ht="15.5">
      <c r="V75" s="350"/>
      <c r="W75" s="350"/>
      <c r="X75" s="350"/>
      <c r="Y75" s="350"/>
      <c r="Z75" s="350"/>
    </row>
    <row r="76" spans="2:27" ht="15.5">
      <c r="V76" s="350"/>
      <c r="W76" s="350"/>
      <c r="X76" s="350"/>
      <c r="Y76" s="350"/>
      <c r="Z76" s="350"/>
    </row>
    <row r="77" spans="2:27" ht="15.5">
      <c r="V77" s="350"/>
      <c r="W77" s="350"/>
      <c r="X77" s="350"/>
      <c r="Y77" s="350"/>
      <c r="Z77" s="350"/>
    </row>
    <row r="78" spans="2:27" ht="15.5">
      <c r="V78" s="350"/>
      <c r="W78" s="350"/>
      <c r="X78" s="350"/>
      <c r="Y78" s="350"/>
      <c r="Z78" s="350"/>
    </row>
    <row r="79" spans="2:27" ht="15.5">
      <c r="V79" s="350"/>
      <c r="W79" s="350"/>
      <c r="X79" s="350"/>
      <c r="Y79" s="350"/>
      <c r="Z79" s="350"/>
    </row>
    <row r="80" spans="2:27" ht="15.5">
      <c r="V80" s="350"/>
      <c r="W80" s="350"/>
      <c r="X80" s="350"/>
      <c r="Y80" s="350"/>
      <c r="Z80" s="350"/>
    </row>
    <row r="81" spans="22:26" ht="15.5">
      <c r="V81" s="350"/>
      <c r="W81" s="350"/>
      <c r="X81" s="350"/>
      <c r="Y81" s="350"/>
      <c r="Z81" s="350"/>
    </row>
    <row r="82" spans="22:26" ht="15.5">
      <c r="V82" s="350"/>
      <c r="W82" s="350"/>
      <c r="X82" s="350"/>
      <c r="Y82" s="350"/>
      <c r="Z82" s="350"/>
    </row>
    <row r="83" spans="22:26" ht="15.5">
      <c r="V83" s="350"/>
      <c r="W83" s="350"/>
      <c r="X83" s="350"/>
      <c r="Y83" s="350"/>
      <c r="Z83" s="350"/>
    </row>
    <row r="84" spans="22:26" ht="15.5">
      <c r="V84" s="350"/>
      <c r="W84" s="350"/>
      <c r="X84" s="350"/>
      <c r="Y84" s="350"/>
      <c r="Z84" s="350"/>
    </row>
    <row r="85" spans="22:26" ht="15.5">
      <c r="V85" s="350"/>
      <c r="W85" s="350"/>
      <c r="X85" s="350"/>
      <c r="Y85" s="350"/>
      <c r="Z85" s="350"/>
    </row>
    <row r="86" spans="22:26" ht="15.5">
      <c r="V86" s="350"/>
      <c r="W86" s="350"/>
      <c r="X86" s="350"/>
      <c r="Y86" s="350"/>
      <c r="Z86" s="350"/>
    </row>
    <row r="87" spans="22:26" ht="15.5">
      <c r="V87" s="350"/>
      <c r="W87" s="350"/>
      <c r="X87" s="350"/>
      <c r="Y87" s="350"/>
      <c r="Z87" s="350"/>
    </row>
    <row r="88" spans="22:26" ht="15.5">
      <c r="V88" s="350"/>
      <c r="W88" s="350"/>
      <c r="X88" s="350"/>
      <c r="Y88" s="350"/>
      <c r="Z88" s="350"/>
    </row>
    <row r="89" spans="22:26" ht="15.5">
      <c r="V89" s="350"/>
      <c r="W89" s="350"/>
      <c r="X89" s="350"/>
      <c r="Y89" s="350"/>
      <c r="Z89" s="350"/>
    </row>
    <row r="90" spans="22:26" ht="15.5">
      <c r="V90" s="350"/>
      <c r="W90" s="350"/>
      <c r="X90" s="350"/>
      <c r="Y90" s="350"/>
      <c r="Z90" s="350"/>
    </row>
    <row r="91" spans="22:26" ht="15.5">
      <c r="V91" s="350"/>
      <c r="W91" s="350"/>
      <c r="X91" s="350"/>
      <c r="Y91" s="350"/>
      <c r="Z91" s="350"/>
    </row>
    <row r="92" spans="22:26" ht="15.5">
      <c r="V92" s="350"/>
      <c r="W92" s="350"/>
      <c r="X92" s="350"/>
      <c r="Y92" s="350"/>
      <c r="Z92" s="350"/>
    </row>
    <row r="93" spans="22:26" ht="15.5">
      <c r="V93" s="350"/>
      <c r="W93" s="350"/>
      <c r="X93" s="350"/>
      <c r="Y93" s="350"/>
      <c r="Z93" s="350"/>
    </row>
    <row r="94" spans="22:26" ht="15.5">
      <c r="V94" s="350"/>
      <c r="W94" s="350"/>
      <c r="X94" s="350"/>
      <c r="Y94" s="350"/>
      <c r="Z94" s="350"/>
    </row>
    <row r="95" spans="22:26" ht="15.5">
      <c r="V95" s="350"/>
      <c r="W95" s="350"/>
      <c r="X95" s="350"/>
      <c r="Y95" s="350"/>
      <c r="Z95" s="350"/>
    </row>
    <row r="96" spans="22:26" ht="15.5">
      <c r="V96" s="350"/>
      <c r="W96" s="350"/>
      <c r="X96" s="350"/>
      <c r="Y96" s="350"/>
      <c r="Z96" s="350"/>
    </row>
    <row r="97" spans="2:26" ht="15.5">
      <c r="V97" s="350"/>
      <c r="W97" s="350"/>
      <c r="X97" s="350"/>
      <c r="Y97" s="350"/>
      <c r="Z97" s="350"/>
    </row>
    <row r="98" spans="2:26" ht="15.5">
      <c r="V98" s="350"/>
      <c r="W98" s="350"/>
      <c r="X98" s="350"/>
      <c r="Y98" s="350"/>
      <c r="Z98" s="350"/>
    </row>
    <row r="99" spans="2:26" s="664" customFormat="1" ht="15.5">
      <c r="V99" s="662"/>
      <c r="W99" s="662"/>
      <c r="X99" s="662"/>
      <c r="Y99" s="662"/>
      <c r="Z99" s="662"/>
    </row>
    <row r="100" spans="2:26" ht="15.5">
      <c r="B100" s="665"/>
      <c r="C100" s="666"/>
      <c r="D100" s="667"/>
      <c r="E100" s="667"/>
      <c r="F100" s="668"/>
      <c r="G100" s="668"/>
      <c r="V100" s="350"/>
      <c r="W100" s="350"/>
      <c r="X100" s="350"/>
      <c r="Y100" s="350"/>
      <c r="Z100" s="350"/>
    </row>
    <row r="101" spans="2:26" ht="15.5">
      <c r="B101" s="676"/>
      <c r="C101" s="678"/>
      <c r="D101" s="679"/>
      <c r="E101" s="678"/>
      <c r="F101" s="680"/>
      <c r="G101" s="684"/>
      <c r="V101" s="451"/>
      <c r="W101" s="451"/>
      <c r="X101" s="451"/>
      <c r="Y101" s="451"/>
      <c r="Z101" s="451"/>
    </row>
    <row r="102" spans="2:26" ht="15.5">
      <c r="B102" s="676"/>
      <c r="C102" s="681"/>
      <c r="D102" s="682"/>
      <c r="E102" s="681"/>
      <c r="F102" s="683"/>
      <c r="G102" s="685"/>
      <c r="V102" s="350"/>
      <c r="W102" s="350"/>
      <c r="X102" s="350"/>
      <c r="Y102" s="350"/>
      <c r="Z102" s="350"/>
    </row>
    <row r="103" spans="2:26" ht="15.5">
      <c r="B103" s="676"/>
      <c r="C103" s="681"/>
      <c r="D103" s="682"/>
      <c r="E103" s="681"/>
      <c r="F103" s="683"/>
      <c r="G103" s="685"/>
      <c r="V103" s="350"/>
      <c r="W103" s="350"/>
      <c r="X103" s="350"/>
      <c r="Y103" s="350"/>
      <c r="Z103" s="350"/>
    </row>
    <row r="104" spans="2:26" ht="15.5">
      <c r="B104" s="676"/>
      <c r="C104" s="681"/>
      <c r="D104" s="682"/>
      <c r="E104" s="681"/>
      <c r="F104" s="683"/>
      <c r="G104" s="685"/>
      <c r="V104" s="350"/>
      <c r="W104" s="350"/>
      <c r="X104" s="350"/>
      <c r="Y104" s="350"/>
      <c r="Z104" s="350"/>
    </row>
    <row r="105" spans="2:26" ht="15.5">
      <c r="B105" s="671"/>
      <c r="C105" s="669"/>
      <c r="D105" s="677"/>
      <c r="E105" s="669"/>
      <c r="F105" s="670"/>
      <c r="G105" s="686"/>
      <c r="V105" s="451"/>
      <c r="W105" s="451"/>
      <c r="X105" s="451"/>
      <c r="Y105" s="451"/>
      <c r="Z105" s="451"/>
    </row>
    <row r="106" spans="2:26" ht="15.5">
      <c r="V106" s="350"/>
      <c r="W106" s="350"/>
      <c r="X106" s="350"/>
      <c r="Y106" s="350"/>
      <c r="Z106" s="350"/>
    </row>
    <row r="107" spans="2:26" ht="15.5">
      <c r="V107" s="350"/>
      <c r="W107" s="350"/>
      <c r="X107" s="350"/>
      <c r="Y107" s="350"/>
      <c r="Z107" s="350"/>
    </row>
    <row r="108" spans="2:26" ht="15.5">
      <c r="V108" s="350"/>
      <c r="W108" s="350"/>
      <c r="X108" s="350"/>
      <c r="Y108" s="350"/>
      <c r="Z108" s="350"/>
    </row>
    <row r="109" spans="2:26" ht="15.5">
      <c r="V109" s="350"/>
      <c r="W109" s="350"/>
      <c r="X109" s="350"/>
      <c r="Y109" s="350"/>
      <c r="Z109" s="350"/>
    </row>
    <row r="110" spans="2:26" ht="15.5">
      <c r="V110" s="350"/>
      <c r="W110" s="350"/>
      <c r="X110" s="350"/>
      <c r="Y110" s="350"/>
      <c r="Z110" s="350"/>
    </row>
    <row r="111" spans="2:26" ht="15.5">
      <c r="V111" s="350"/>
      <c r="W111" s="350"/>
      <c r="X111" s="350"/>
      <c r="Y111" s="350"/>
      <c r="Z111" s="350"/>
    </row>
    <row r="112" spans="2:26" ht="15.5">
      <c r="V112" s="350"/>
      <c r="W112" s="350"/>
      <c r="X112" s="350"/>
      <c r="Y112" s="350"/>
      <c r="Z112" s="350"/>
    </row>
    <row r="113" spans="22:26" ht="15.5">
      <c r="V113" s="350"/>
      <c r="W113" s="350"/>
      <c r="X113" s="350"/>
      <c r="Y113" s="350"/>
      <c r="Z113" s="350"/>
    </row>
    <row r="114" spans="22:26" ht="15.5">
      <c r="V114" s="350"/>
      <c r="W114" s="350"/>
      <c r="X114" s="350"/>
      <c r="Y114" s="350"/>
      <c r="Z114" s="350"/>
    </row>
    <row r="115" spans="22:26" ht="15.5">
      <c r="V115" s="350"/>
      <c r="W115" s="350"/>
      <c r="X115" s="350"/>
      <c r="Y115" s="350"/>
      <c r="Z115" s="350"/>
    </row>
    <row r="116" spans="22:26" ht="15.5">
      <c r="V116" s="350"/>
      <c r="W116" s="350"/>
      <c r="X116" s="350"/>
      <c r="Y116" s="350"/>
      <c r="Z116" s="350"/>
    </row>
    <row r="117" spans="22:26" ht="15.5">
      <c r="V117" s="350"/>
      <c r="W117" s="350"/>
      <c r="X117" s="350"/>
      <c r="Y117" s="350"/>
      <c r="Z117" s="350"/>
    </row>
    <row r="118" spans="22:26" ht="15.5">
      <c r="V118" s="350"/>
      <c r="W118" s="350"/>
      <c r="X118" s="350"/>
      <c r="Y118" s="350"/>
      <c r="Z118" s="350"/>
    </row>
    <row r="119" spans="22:26" ht="15.5">
      <c r="V119" s="350"/>
      <c r="W119" s="350"/>
      <c r="X119" s="350"/>
      <c r="Y119" s="350"/>
      <c r="Z119" s="350"/>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row r="153" spans="24:25" ht="15.5">
      <c r="X153"/>
      <c r="Y153"/>
    </row>
  </sheetData>
  <mergeCells count="1">
    <mergeCell ref="B1:U1"/>
  </mergeCells>
  <conditionalFormatting sqref="G100">
    <cfRule type="iconSet" priority="4">
      <iconSet reverse="1">
        <cfvo type="percent" val="0"/>
        <cfvo type="percent" val="3"/>
        <cfvo type="percent" val="5"/>
      </iconSet>
    </cfRule>
  </conditionalFormatting>
  <conditionalFormatting sqref="F100:F101">
    <cfRule type="iconSet" priority="6">
      <iconSet reverse="1">
        <cfvo type="percent" val="0"/>
        <cfvo type="percent" val="3"/>
        <cfvo type="percent" val="5"/>
      </iconSet>
    </cfRule>
  </conditionalFormatting>
  <conditionalFormatting sqref="F101:F105">
    <cfRule type="iconSet" priority="5">
      <iconSet reverse="1">
        <cfvo type="percent" val="0"/>
        <cfvo type="num" val="0.03"/>
        <cfvo type="num" val="0.05"/>
      </iconSet>
    </cfRule>
  </conditionalFormatting>
  <conditionalFormatting sqref="F66:H70">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6" customWidth="1"/>
    <col min="2" max="2" width="81.83203125" style="646" customWidth="1"/>
    <col min="3" max="16384" width="9" style="646"/>
  </cols>
  <sheetData>
    <row r="2" spans="1:2" ht="18.5">
      <c r="A2" s="1013" t="s">
        <v>3000</v>
      </c>
      <c r="B2" s="1013"/>
    </row>
    <row r="3" spans="1:2">
      <c r="A3" s="652" t="s">
        <v>21</v>
      </c>
      <c r="B3" s="651" t="s">
        <v>2938</v>
      </c>
    </row>
    <row r="4" spans="1:2">
      <c r="A4" s="653" t="s">
        <v>293</v>
      </c>
      <c r="B4" s="647" t="s">
        <v>2960</v>
      </c>
    </row>
    <row r="5" spans="1:2" ht="46.5">
      <c r="A5" s="654"/>
      <c r="B5" s="647" t="s">
        <v>2999</v>
      </c>
    </row>
    <row r="6" spans="1:2">
      <c r="A6" s="654"/>
      <c r="B6" s="647" t="s">
        <v>61</v>
      </c>
    </row>
    <row r="7" spans="1:2">
      <c r="A7" s="645" t="s">
        <v>2939</v>
      </c>
      <c r="B7" s="645" t="s">
        <v>2940</v>
      </c>
    </row>
    <row r="8" spans="1:2" ht="46.5">
      <c r="A8" s="648" t="s">
        <v>293</v>
      </c>
      <c r="B8" s="649" t="s">
        <v>3001</v>
      </c>
    </row>
    <row r="9" spans="1:2" ht="31">
      <c r="A9" s="693"/>
      <c r="B9" s="649" t="s">
        <v>3002</v>
      </c>
    </row>
    <row r="10" spans="1:2">
      <c r="A10" s="650" t="s">
        <v>2939</v>
      </c>
      <c r="B10" s="650" t="s">
        <v>2941</v>
      </c>
    </row>
    <row r="11" spans="1:2">
      <c r="A11" s="655" t="s">
        <v>293</v>
      </c>
      <c r="B11" s="656" t="s">
        <v>2961</v>
      </c>
    </row>
    <row r="12" spans="1:2" ht="31">
      <c r="A12" s="657"/>
      <c r="B12" s="656" t="s">
        <v>3003</v>
      </c>
    </row>
    <row r="13" spans="1:2" ht="46.5">
      <c r="A13" s="657"/>
      <c r="B13" s="656" t="s">
        <v>3004</v>
      </c>
    </row>
  </sheetData>
  <mergeCells count="1">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I30" sqref="I30"/>
    </sheetView>
  </sheetViews>
  <sheetFormatPr defaultColWidth="20.58203125" defaultRowHeight="15.5"/>
  <cols>
    <col min="1" max="1" width="28.9140625" style="57" hidden="1" customWidth="1"/>
    <col min="2" max="2" width="11.08203125" style="57" hidden="1" customWidth="1"/>
    <col min="3" max="3" width="59" style="57" hidden="1" customWidth="1"/>
    <col min="4" max="4" width="46.5" style="57" hidden="1" customWidth="1"/>
    <col min="5" max="5" width="74.4140625" style="57" hidden="1" customWidth="1"/>
    <col min="6" max="6" width="20.58203125" style="57" hidden="1" customWidth="1"/>
    <col min="7" max="16384" width="20.58203125" style="57"/>
  </cols>
  <sheetData>
    <row r="1" spans="1:20" ht="26.25" customHeight="1">
      <c r="A1" s="1014" t="s">
        <v>3144</v>
      </c>
      <c r="B1" s="1014"/>
      <c r="C1" s="1014"/>
      <c r="D1" s="1014"/>
      <c r="E1" s="1014"/>
      <c r="F1" s="1014"/>
      <c r="G1" s="1014"/>
      <c r="H1" s="1014"/>
      <c r="I1" s="1014"/>
      <c r="J1" s="1014"/>
      <c r="K1" s="1014"/>
      <c r="L1" s="1014"/>
      <c r="M1" s="1014"/>
      <c r="N1" s="1014"/>
      <c r="O1" s="1014"/>
      <c r="P1" s="1014"/>
      <c r="Q1" s="1014"/>
      <c r="R1" s="1014"/>
      <c r="S1" s="1014"/>
      <c r="T1" s="1014"/>
    </row>
    <row r="33" spans="1:27">
      <c r="A33"/>
      <c r="B33"/>
    </row>
    <row r="34" spans="1:27">
      <c r="A34" s="387" t="s">
        <v>20</v>
      </c>
      <c r="B34" s="57" t="s">
        <v>1620</v>
      </c>
    </row>
    <row r="35" spans="1:27">
      <c r="A35" s="904" t="s">
        <v>22</v>
      </c>
      <c r="B35" s="57" t="s">
        <v>1865</v>
      </c>
    </row>
    <row r="36" spans="1:27">
      <c r="A36" s="904" t="s">
        <v>21</v>
      </c>
      <c r="B36" s="57" t="s">
        <v>1865</v>
      </c>
    </row>
    <row r="37" spans="1:27">
      <c r="C37" s="177"/>
      <c r="D37" s="177"/>
      <c r="E37" s="177"/>
    </row>
    <row r="38" spans="1:27" s="84" customFormat="1" ht="31">
      <c r="A38" s="387" t="s">
        <v>23</v>
      </c>
      <c r="B38" s="885" t="s">
        <v>1918</v>
      </c>
      <c r="C38" s="57" t="s">
        <v>2684</v>
      </c>
      <c r="D38" s="57" t="s">
        <v>2685</v>
      </c>
      <c r="E38" s="57" t="s">
        <v>2686</v>
      </c>
      <c r="F38"/>
      <c r="G38"/>
      <c r="H38"/>
      <c r="I38"/>
      <c r="J38"/>
      <c r="K38"/>
      <c r="L38"/>
      <c r="M38"/>
      <c r="N38"/>
      <c r="O38"/>
      <c r="P38"/>
      <c r="Q38"/>
      <c r="R38"/>
      <c r="S38"/>
      <c r="T38"/>
      <c r="U38"/>
      <c r="V38"/>
      <c r="W38"/>
      <c r="X38"/>
      <c r="Y38"/>
      <c r="Z38"/>
      <c r="AA38"/>
    </row>
    <row r="39" spans="1:27">
      <c r="A39" s="57" t="s">
        <v>1621</v>
      </c>
      <c r="B39" s="879"/>
      <c r="C39" s="879"/>
      <c r="D39" s="879"/>
      <c r="E39" s="879"/>
      <c r="F39"/>
      <c r="G39"/>
      <c r="H39"/>
      <c r="I39"/>
      <c r="J39"/>
      <c r="K39"/>
      <c r="L39"/>
      <c r="M39"/>
      <c r="N39"/>
      <c r="O39"/>
      <c r="P39"/>
      <c r="Q39"/>
      <c r="R39"/>
      <c r="S39"/>
      <c r="T39"/>
      <c r="U39"/>
      <c r="V39"/>
      <c r="W39"/>
      <c r="X39"/>
      <c r="Y39"/>
      <c r="Z39"/>
      <c r="AA39"/>
    </row>
    <row r="40" spans="1:27">
      <c r="A40"/>
      <c r="B40"/>
      <c r="C40"/>
      <c r="D40"/>
      <c r="E40"/>
      <c r="F40"/>
      <c r="G40"/>
      <c r="H40"/>
      <c r="I40"/>
      <c r="J40"/>
      <c r="K40"/>
      <c r="L40"/>
      <c r="M40"/>
      <c r="N40"/>
      <c r="O40"/>
      <c r="P40"/>
      <c r="Q40"/>
      <c r="R40"/>
      <c r="S40"/>
      <c r="T40"/>
      <c r="U40"/>
      <c r="V40"/>
      <c r="W40"/>
      <c r="X40"/>
      <c r="Y40"/>
      <c r="Z40"/>
      <c r="AA40"/>
    </row>
    <row r="41" spans="1:27">
      <c r="A41"/>
      <c r="B41"/>
      <c r="C41"/>
      <c r="D41"/>
      <c r="E41"/>
      <c r="F41"/>
      <c r="G41"/>
      <c r="H41"/>
      <c r="I41"/>
      <c r="J41"/>
      <c r="K41"/>
      <c r="L41"/>
      <c r="M41"/>
      <c r="N41"/>
      <c r="O41"/>
      <c r="P41"/>
      <c r="Q41"/>
      <c r="R41"/>
      <c r="S41"/>
      <c r="T41"/>
      <c r="U41"/>
      <c r="V41"/>
      <c r="W41"/>
      <c r="X41"/>
      <c r="Y41"/>
      <c r="Z41"/>
      <c r="AA41"/>
    </row>
    <row r="42" spans="1:27">
      <c r="A42"/>
      <c r="B42"/>
      <c r="C42"/>
      <c r="D42"/>
      <c r="E42"/>
      <c r="F42"/>
      <c r="G42"/>
      <c r="H42"/>
      <c r="I42"/>
      <c r="J42"/>
      <c r="K42"/>
      <c r="L42"/>
      <c r="M42"/>
      <c r="N42"/>
      <c r="O42"/>
      <c r="P42"/>
      <c r="Q42"/>
      <c r="R42"/>
      <c r="S42"/>
      <c r="T42"/>
      <c r="U42"/>
      <c r="V42"/>
      <c r="W42"/>
      <c r="X42"/>
      <c r="Y42"/>
      <c r="Z42"/>
      <c r="AA42"/>
    </row>
    <row r="43" spans="1:27">
      <c r="A43"/>
      <c r="B43"/>
      <c r="C43"/>
      <c r="D43"/>
      <c r="E43"/>
      <c r="F43"/>
      <c r="G43"/>
      <c r="H43"/>
      <c r="I43"/>
      <c r="J43"/>
      <c r="K43"/>
      <c r="L43"/>
      <c r="M43"/>
      <c r="N43"/>
      <c r="O43"/>
      <c r="P43"/>
      <c r="Q43"/>
      <c r="R43"/>
      <c r="S43"/>
      <c r="T43"/>
      <c r="U43"/>
      <c r="V43"/>
      <c r="W43"/>
      <c r="X43"/>
      <c r="Y43"/>
      <c r="Z43"/>
      <c r="AA43"/>
    </row>
    <row r="44" spans="1:27">
      <c r="A44"/>
      <c r="B44"/>
      <c r="C44"/>
      <c r="D44"/>
      <c r="E44"/>
      <c r="F44"/>
      <c r="G44"/>
    </row>
    <row r="45" spans="1:27">
      <c r="A45"/>
      <c r="B45"/>
      <c r="C45"/>
      <c r="D45"/>
      <c r="E45"/>
      <c r="F45"/>
      <c r="G45"/>
    </row>
    <row r="46" spans="1:27">
      <c r="A46"/>
      <c r="B46"/>
      <c r="C46"/>
      <c r="D46"/>
      <c r="E46"/>
      <c r="F46"/>
      <c r="G46"/>
    </row>
    <row r="47" spans="1:27">
      <c r="A47"/>
      <c r="B47"/>
      <c r="C47"/>
      <c r="D47"/>
      <c r="E47"/>
      <c r="F47"/>
      <c r="G47"/>
    </row>
    <row r="48" spans="1:27">
      <c r="A48"/>
      <c r="B48"/>
      <c r="C48"/>
      <c r="D48"/>
      <c r="E48"/>
      <c r="F48"/>
      <c r="G48"/>
    </row>
    <row r="49" spans="1:7">
      <c r="A49"/>
      <c r="B49"/>
      <c r="C49"/>
      <c r="D49"/>
      <c r="E49"/>
      <c r="F49"/>
      <c r="G49"/>
    </row>
    <row r="50" spans="1:7">
      <c r="A50"/>
      <c r="B50"/>
      <c r="C50"/>
      <c r="D50"/>
      <c r="E50"/>
      <c r="F50"/>
      <c r="G50"/>
    </row>
    <row r="51" spans="1:7">
      <c r="A51"/>
      <c r="B51"/>
      <c r="C51"/>
      <c r="D51"/>
      <c r="E51"/>
      <c r="F51"/>
      <c r="G51"/>
    </row>
    <row r="52" spans="1:7">
      <c r="A52"/>
      <c r="B52"/>
      <c r="C52"/>
      <c r="D52"/>
      <c r="E52"/>
      <c r="F52"/>
      <c r="G52"/>
    </row>
    <row r="53" spans="1:7">
      <c r="A53"/>
      <c r="B53"/>
      <c r="C53"/>
      <c r="D53"/>
      <c r="E53"/>
      <c r="F53"/>
      <c r="G53"/>
    </row>
    <row r="54" spans="1:7">
      <c r="A54"/>
      <c r="B54"/>
      <c r="C54"/>
      <c r="D54"/>
      <c r="E54"/>
      <c r="F54"/>
      <c r="G54"/>
    </row>
    <row r="55" spans="1:7">
      <c r="A55"/>
      <c r="B55"/>
      <c r="C55"/>
      <c r="D55"/>
      <c r="E55"/>
      <c r="F55"/>
      <c r="G55"/>
    </row>
    <row r="56" spans="1:7">
      <c r="A56"/>
      <c r="B56"/>
      <c r="C56"/>
      <c r="D56"/>
      <c r="E56"/>
      <c r="F56"/>
      <c r="G56"/>
    </row>
    <row r="57" spans="1:7">
      <c r="A57"/>
      <c r="B57"/>
      <c r="C57"/>
      <c r="D57"/>
      <c r="E57"/>
      <c r="F57"/>
      <c r="G57"/>
    </row>
    <row r="58" spans="1:7">
      <c r="A58"/>
      <c r="B58"/>
      <c r="C58"/>
      <c r="D58"/>
      <c r="E58"/>
      <c r="F58"/>
      <c r="G58"/>
    </row>
    <row r="59" spans="1:7">
      <c r="A59"/>
      <c r="B59"/>
      <c r="C59"/>
      <c r="D59"/>
      <c r="E59"/>
      <c r="F59"/>
      <c r="G59"/>
    </row>
    <row r="60" spans="1:7">
      <c r="A60"/>
      <c r="B60"/>
      <c r="C60"/>
      <c r="D60"/>
      <c r="E60"/>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47"/>
  <sheetViews>
    <sheetView showGridLines="0" zoomScale="70" zoomScaleNormal="70" workbookViewId="0">
      <selection activeCell="K24" sqref="K24"/>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6" t="s">
        <v>34</v>
      </c>
      <c r="M2" s="451" t="s">
        <v>34</v>
      </c>
    </row>
    <row r="3" spans="12:16">
      <c r="N3" s="350"/>
      <c r="O3" s="350"/>
      <c r="P3" s="350"/>
    </row>
    <row r="4" spans="12:16">
      <c r="L4" s="456" t="s">
        <v>23</v>
      </c>
      <c r="M4" s="456" t="s">
        <v>20</v>
      </c>
      <c r="N4" s="451" t="s">
        <v>2684</v>
      </c>
      <c r="O4" s="451" t="s">
        <v>2685</v>
      </c>
      <c r="P4" s="451" t="s">
        <v>2686</v>
      </c>
    </row>
    <row r="5" spans="12:16">
      <c r="L5" s="451" t="s">
        <v>411</v>
      </c>
      <c r="M5" s="451" t="s">
        <v>3156</v>
      </c>
      <c r="N5" s="450">
        <v>5133</v>
      </c>
      <c r="O5" s="450">
        <v>3960</v>
      </c>
      <c r="P5" s="450">
        <v>5133</v>
      </c>
    </row>
    <row r="6" spans="12:16">
      <c r="L6" s="451" t="s">
        <v>3016</v>
      </c>
      <c r="M6" s="451"/>
      <c r="N6" s="450">
        <v>5133</v>
      </c>
      <c r="O6" s="450">
        <v>3960</v>
      </c>
      <c r="P6" s="450">
        <v>5133</v>
      </c>
    </row>
    <row r="7" spans="12:16">
      <c r="L7" s="451" t="s">
        <v>413</v>
      </c>
      <c r="M7" s="451" t="s">
        <v>3156</v>
      </c>
      <c r="N7" s="450">
        <v>2139</v>
      </c>
      <c r="O7" s="450">
        <v>2139</v>
      </c>
      <c r="P7" s="450">
        <v>2139</v>
      </c>
    </row>
    <row r="8" spans="12:16">
      <c r="L8" s="451" t="s">
        <v>3017</v>
      </c>
      <c r="M8" s="451"/>
      <c r="N8" s="450">
        <v>2139</v>
      </c>
      <c r="O8" s="450">
        <v>2139</v>
      </c>
      <c r="P8" s="450">
        <v>2139</v>
      </c>
    </row>
    <row r="9" spans="12:16">
      <c r="L9" s="451" t="s">
        <v>424</v>
      </c>
      <c r="M9" s="451" t="s">
        <v>3156</v>
      </c>
      <c r="N9" s="450">
        <v>4875</v>
      </c>
      <c r="O9" s="450">
        <v>4875</v>
      </c>
      <c r="P9" s="450">
        <v>4875</v>
      </c>
    </row>
    <row r="10" spans="12:16">
      <c r="L10" s="451" t="s">
        <v>3018</v>
      </c>
      <c r="M10" s="451"/>
      <c r="N10" s="450">
        <v>4875</v>
      </c>
      <c r="O10" s="450">
        <v>4875</v>
      </c>
      <c r="P10" s="450">
        <v>4875</v>
      </c>
    </row>
    <row r="11" spans="12:16">
      <c r="L11" s="451" t="s">
        <v>426</v>
      </c>
      <c r="M11" s="451" t="s">
        <v>3156</v>
      </c>
      <c r="N11" s="450">
        <v>7033</v>
      </c>
      <c r="O11" s="450">
        <v>5540</v>
      </c>
      <c r="P11" s="450">
        <v>7033</v>
      </c>
    </row>
    <row r="12" spans="12:16">
      <c r="L12" s="451" t="s">
        <v>3019</v>
      </c>
      <c r="M12" s="451"/>
      <c r="N12" s="450">
        <v>7033</v>
      </c>
      <c r="O12" s="450">
        <v>5540</v>
      </c>
      <c r="P12" s="450">
        <v>7033</v>
      </c>
    </row>
    <row r="13" spans="12:16">
      <c r="L13" s="451" t="s">
        <v>423</v>
      </c>
      <c r="M13" s="451" t="s">
        <v>3156</v>
      </c>
      <c r="N13" s="450">
        <v>11056</v>
      </c>
      <c r="O13" s="450">
        <v>9068</v>
      </c>
      <c r="P13" s="450">
        <v>11056</v>
      </c>
    </row>
    <row r="14" spans="12:16">
      <c r="L14" s="451" t="s">
        <v>3020</v>
      </c>
      <c r="M14" s="451"/>
      <c r="N14" s="450">
        <v>11056</v>
      </c>
      <c r="O14" s="450">
        <v>9068</v>
      </c>
      <c r="P14" s="450">
        <v>11056</v>
      </c>
    </row>
    <row r="15" spans="12:16">
      <c r="L15" s="451" t="s">
        <v>367</v>
      </c>
      <c r="M15" s="451" t="s">
        <v>3156</v>
      </c>
      <c r="N15" s="450">
        <v>1067</v>
      </c>
      <c r="O15" s="450">
        <v>1067</v>
      </c>
      <c r="P15" s="450">
        <v>1067</v>
      </c>
    </row>
    <row r="16" spans="12:16">
      <c r="L16" s="451" t="s">
        <v>3021</v>
      </c>
      <c r="M16" s="451"/>
      <c r="N16" s="450">
        <v>1067</v>
      </c>
      <c r="O16" s="450">
        <v>1067</v>
      </c>
      <c r="P16" s="450">
        <v>1067</v>
      </c>
    </row>
    <row r="17" spans="12:16">
      <c r="L17" s="451" t="s">
        <v>409</v>
      </c>
      <c r="M17" s="451" t="s">
        <v>3156</v>
      </c>
      <c r="N17" s="450">
        <v>6674</v>
      </c>
      <c r="O17" s="450">
        <v>4669</v>
      </c>
      <c r="P17" s="450">
        <v>6674</v>
      </c>
    </row>
    <row r="18" spans="12:16">
      <c r="L18" s="451" t="s">
        <v>3022</v>
      </c>
      <c r="M18" s="451"/>
      <c r="N18" s="450">
        <v>6674</v>
      </c>
      <c r="O18" s="450">
        <v>4669</v>
      </c>
      <c r="P18" s="450">
        <v>6674</v>
      </c>
    </row>
    <row r="19" spans="12:16">
      <c r="L19" s="451" t="s">
        <v>430</v>
      </c>
      <c r="M19" s="451" t="s">
        <v>3156</v>
      </c>
      <c r="N19" s="450">
        <v>0</v>
      </c>
      <c r="O19" s="450">
        <v>3486</v>
      </c>
      <c r="P19" s="450">
        <v>3486</v>
      </c>
    </row>
    <row r="20" spans="12:16">
      <c r="L20" s="451" t="s">
        <v>3023</v>
      </c>
      <c r="M20" s="451"/>
      <c r="N20" s="450">
        <v>0</v>
      </c>
      <c r="O20" s="450">
        <v>3486</v>
      </c>
      <c r="P20" s="450">
        <v>3486</v>
      </c>
    </row>
    <row r="21" spans="12:16">
      <c r="L21" s="451" t="s">
        <v>405</v>
      </c>
      <c r="M21" s="451" t="s">
        <v>3156</v>
      </c>
      <c r="N21" s="450">
        <v>5024</v>
      </c>
      <c r="O21" s="450">
        <v>3040</v>
      </c>
      <c r="P21" s="450">
        <v>5024</v>
      </c>
    </row>
    <row r="22" spans="12:16">
      <c r="L22" s="451" t="s">
        <v>3024</v>
      </c>
      <c r="M22" s="451"/>
      <c r="N22" s="450">
        <v>5024</v>
      </c>
      <c r="O22" s="450">
        <v>3040</v>
      </c>
      <c r="P22" s="450">
        <v>5024</v>
      </c>
    </row>
    <row r="23" spans="12:16">
      <c r="L23" s="451" t="s">
        <v>406</v>
      </c>
      <c r="M23" s="451" t="s">
        <v>3156</v>
      </c>
      <c r="N23" s="450">
        <v>5137</v>
      </c>
      <c r="O23" s="450">
        <v>3720</v>
      </c>
      <c r="P23" s="450">
        <v>5137</v>
      </c>
    </row>
    <row r="24" spans="12:16">
      <c r="L24" s="451" t="s">
        <v>3025</v>
      </c>
      <c r="M24" s="451"/>
      <c r="N24" s="450">
        <v>5137</v>
      </c>
      <c r="O24" s="450">
        <v>3720</v>
      </c>
      <c r="P24" s="450">
        <v>5137</v>
      </c>
    </row>
    <row r="25" spans="12:16">
      <c r="L25" s="451" t="s">
        <v>440</v>
      </c>
      <c r="M25" s="451" t="s">
        <v>3156</v>
      </c>
      <c r="N25" s="450">
        <v>0</v>
      </c>
      <c r="O25" s="450">
        <v>2819</v>
      </c>
      <c r="P25" s="450">
        <v>3095</v>
      </c>
    </row>
    <row r="26" spans="12:16">
      <c r="L26" s="451" t="s">
        <v>3026</v>
      </c>
      <c r="M26" s="451"/>
      <c r="N26" s="450">
        <v>0</v>
      </c>
      <c r="O26" s="450">
        <v>2819</v>
      </c>
      <c r="P26" s="450">
        <v>3095</v>
      </c>
    </row>
    <row r="27" spans="12:16">
      <c r="L27" s="451" t="s">
        <v>431</v>
      </c>
      <c r="M27" s="451" t="s">
        <v>3156</v>
      </c>
      <c r="N27" s="450">
        <v>0</v>
      </c>
      <c r="O27" s="450">
        <v>11440</v>
      </c>
      <c r="P27" s="450">
        <v>13302</v>
      </c>
    </row>
    <row r="28" spans="12:16">
      <c r="L28" s="451" t="s">
        <v>3027</v>
      </c>
      <c r="M28" s="451"/>
      <c r="N28" s="450">
        <v>0</v>
      </c>
      <c r="O28" s="450">
        <v>11440</v>
      </c>
      <c r="P28" s="450">
        <v>13302</v>
      </c>
    </row>
    <row r="29" spans="12:16">
      <c r="L29" s="451" t="s">
        <v>429</v>
      </c>
      <c r="M29" s="451" t="s">
        <v>3156</v>
      </c>
      <c r="N29" s="450">
        <v>0</v>
      </c>
      <c r="O29" s="450">
        <v>11478</v>
      </c>
      <c r="P29" s="450">
        <v>11478</v>
      </c>
    </row>
    <row r="30" spans="12:16">
      <c r="L30" s="451" t="s">
        <v>2896</v>
      </c>
      <c r="M30" s="451"/>
      <c r="N30" s="450">
        <v>0</v>
      </c>
      <c r="O30" s="450">
        <v>11478</v>
      </c>
      <c r="P30" s="450">
        <v>11478</v>
      </c>
    </row>
    <row r="31" spans="12:16">
      <c r="L31" s="451" t="s">
        <v>438</v>
      </c>
      <c r="M31" s="451" t="s">
        <v>3156</v>
      </c>
      <c r="N31" s="450">
        <v>0</v>
      </c>
      <c r="O31" s="450">
        <v>8891</v>
      </c>
      <c r="P31" s="450">
        <v>11564</v>
      </c>
    </row>
    <row r="32" spans="12:16">
      <c r="L32" s="451" t="s">
        <v>3028</v>
      </c>
      <c r="M32" s="451"/>
      <c r="N32" s="450">
        <v>0</v>
      </c>
      <c r="O32" s="450">
        <v>8891</v>
      </c>
      <c r="P32" s="450">
        <v>11564</v>
      </c>
    </row>
    <row r="33" spans="12:16">
      <c r="L33" s="451" t="s">
        <v>404</v>
      </c>
      <c r="M33" s="451" t="s">
        <v>3156</v>
      </c>
      <c r="N33" s="450">
        <v>3668</v>
      </c>
      <c r="O33" s="450">
        <v>2516</v>
      </c>
      <c r="P33" s="450">
        <v>2516</v>
      </c>
    </row>
    <row r="34" spans="12:16">
      <c r="L34" s="451" t="s">
        <v>3015</v>
      </c>
      <c r="M34" s="451"/>
      <c r="N34" s="450">
        <v>3668</v>
      </c>
      <c r="O34" s="450">
        <v>2516</v>
      </c>
      <c r="P34" s="450">
        <v>2516</v>
      </c>
    </row>
    <row r="35" spans="12:16">
      <c r="L35" s="451" t="s">
        <v>399</v>
      </c>
      <c r="M35" s="451" t="s">
        <v>3156</v>
      </c>
      <c r="N35" s="450">
        <v>0</v>
      </c>
      <c r="O35" s="450">
        <v>2920</v>
      </c>
      <c r="P35" s="450">
        <v>0</v>
      </c>
    </row>
    <row r="36" spans="12:16">
      <c r="L36" s="451" t="s">
        <v>3029</v>
      </c>
      <c r="M36" s="451"/>
      <c r="N36" s="450">
        <v>0</v>
      </c>
      <c r="O36" s="450">
        <v>2920</v>
      </c>
      <c r="P36" s="450">
        <v>0</v>
      </c>
    </row>
    <row r="37" spans="12:16">
      <c r="L37" s="451" t="s">
        <v>421</v>
      </c>
      <c r="M37" s="451" t="s">
        <v>3156</v>
      </c>
      <c r="N37" s="450">
        <v>0</v>
      </c>
      <c r="O37" s="450">
        <v>4386</v>
      </c>
      <c r="P37" s="450">
        <v>6016</v>
      </c>
    </row>
    <row r="38" spans="12:16">
      <c r="L38" s="451" t="s">
        <v>3030</v>
      </c>
      <c r="M38" s="451"/>
      <c r="N38" s="450">
        <v>0</v>
      </c>
      <c r="O38" s="450">
        <v>4386</v>
      </c>
      <c r="P38" s="450">
        <v>6016</v>
      </c>
    </row>
    <row r="39" spans="12:16">
      <c r="L39" s="451" t="s">
        <v>425</v>
      </c>
      <c r="M39" s="451" t="s">
        <v>3156</v>
      </c>
      <c r="N39" s="450">
        <v>0</v>
      </c>
      <c r="O39" s="450">
        <v>4958</v>
      </c>
      <c r="P39" s="450">
        <v>5950</v>
      </c>
    </row>
    <row r="40" spans="12:16">
      <c r="L40" s="451" t="s">
        <v>3031</v>
      </c>
      <c r="M40" s="451"/>
      <c r="N40" s="450">
        <v>0</v>
      </c>
      <c r="O40" s="450">
        <v>4958</v>
      </c>
      <c r="P40" s="450">
        <v>5950</v>
      </c>
    </row>
    <row r="41" spans="12:16">
      <c r="L41" s="451" t="s">
        <v>2272</v>
      </c>
      <c r="M41" s="451" t="s">
        <v>3156</v>
      </c>
      <c r="N41" s="450">
        <v>0</v>
      </c>
      <c r="O41" s="450">
        <v>2186</v>
      </c>
      <c r="P41" s="450">
        <v>2186</v>
      </c>
    </row>
    <row r="42" spans="12:16">
      <c r="L42" s="451" t="s">
        <v>3032</v>
      </c>
      <c r="M42" s="451"/>
      <c r="N42" s="450">
        <v>0</v>
      </c>
      <c r="O42" s="450">
        <v>2186</v>
      </c>
      <c r="P42" s="450">
        <v>2186</v>
      </c>
    </row>
    <row r="43" spans="12:16">
      <c r="L43" s="451" t="s">
        <v>2271</v>
      </c>
      <c r="M43" s="451" t="s">
        <v>3156</v>
      </c>
      <c r="N43" s="450">
        <v>0</v>
      </c>
      <c r="O43" s="450">
        <v>2248</v>
      </c>
      <c r="P43" s="450">
        <v>2248</v>
      </c>
    </row>
    <row r="44" spans="12:16">
      <c r="L44" s="451" t="s">
        <v>3033</v>
      </c>
      <c r="M44" s="451"/>
      <c r="N44" s="450">
        <v>0</v>
      </c>
      <c r="O44" s="450">
        <v>2248</v>
      </c>
      <c r="P44" s="450">
        <v>2248</v>
      </c>
    </row>
    <row r="45" spans="12:16">
      <c r="L45" s="451" t="s">
        <v>2273</v>
      </c>
      <c r="M45" s="451" t="s">
        <v>3156</v>
      </c>
      <c r="N45" s="450">
        <v>0</v>
      </c>
      <c r="O45" s="450">
        <v>2446</v>
      </c>
      <c r="P45" s="450">
        <v>2446</v>
      </c>
    </row>
    <row r="46" spans="12:16">
      <c r="L46" s="451" t="s">
        <v>2897</v>
      </c>
      <c r="M46" s="451"/>
      <c r="N46" s="450">
        <v>0</v>
      </c>
      <c r="O46" s="450">
        <v>2446</v>
      </c>
      <c r="P46" s="450">
        <v>2446</v>
      </c>
    </row>
    <row r="47" spans="12:16">
      <c r="L47" s="451" t="s">
        <v>1621</v>
      </c>
      <c r="N47" s="450">
        <v>51806</v>
      </c>
      <c r="O47" s="450">
        <v>97852</v>
      </c>
      <c r="P47" s="450">
        <v>112425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A11" sqref="A11"/>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3156</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3157</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3158</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3159</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2626</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2626</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2626</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51"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51" t="s">
        <v>2623</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51" t="s">
        <v>2485</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52" t="s">
        <v>2791</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6" t="s">
        <v>2665</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7"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EE67B-CA7D-4559-87D1-29DFF25D1307}">
  <dimension ref="A3:M29"/>
  <sheetViews>
    <sheetView topLeftCell="J2" workbookViewId="0">
      <selection activeCell="L19" sqref="L19"/>
    </sheetView>
  </sheetViews>
  <sheetFormatPr defaultRowHeight="15.5"/>
  <cols>
    <col min="1" max="1" width="29.58203125" bestFit="1" customWidth="1"/>
    <col min="2" max="2" width="15.83203125" bestFit="1" customWidth="1"/>
    <col min="3" max="5" width="8.5" bestFit="1" customWidth="1"/>
    <col min="7" max="7" width="29.58203125" bestFit="1" customWidth="1"/>
    <col min="8" max="8" width="17.1640625" style="751" bestFit="1" customWidth="1"/>
    <col min="9" max="10" width="9.9140625" style="751" bestFit="1" customWidth="1"/>
    <col min="11" max="11" width="9.9140625" bestFit="1" customWidth="1"/>
    <col min="12" max="12" width="44.08203125" bestFit="1" customWidth="1"/>
    <col min="13" max="13" width="17.1640625" bestFit="1" customWidth="1"/>
    <col min="14" max="16" width="9.9140625" bestFit="1" customWidth="1"/>
    <col min="17" max="17" width="12.33203125" bestFit="1" customWidth="1"/>
    <col min="18" max="18" width="44.08203125" bestFit="1" customWidth="1"/>
  </cols>
  <sheetData>
    <row r="3" spans="1:13">
      <c r="A3" s="456" t="s">
        <v>3010</v>
      </c>
      <c r="B3" s="456" t="s">
        <v>1866</v>
      </c>
      <c r="G3" s="456" t="s">
        <v>3011</v>
      </c>
      <c r="H3" s="762" t="s">
        <v>1866</v>
      </c>
      <c r="I3"/>
      <c r="J3"/>
      <c r="L3" s="456" t="s">
        <v>3013</v>
      </c>
      <c r="M3" s="762" t="s">
        <v>1866</v>
      </c>
    </row>
    <row r="4" spans="1:13">
      <c r="A4" s="456" t="s">
        <v>1619</v>
      </c>
      <c r="B4" s="451" t="s">
        <v>3156</v>
      </c>
      <c r="G4" s="456" t="s">
        <v>1619</v>
      </c>
      <c r="H4" s="736" t="s">
        <v>3156</v>
      </c>
      <c r="I4"/>
      <c r="J4"/>
      <c r="L4" s="456" t="s">
        <v>1619</v>
      </c>
      <c r="M4" s="736" t="s">
        <v>3156</v>
      </c>
    </row>
    <row r="5" spans="1:13">
      <c r="A5" s="739" t="s">
        <v>411</v>
      </c>
      <c r="B5" s="450">
        <v>5133</v>
      </c>
      <c r="G5" s="739" t="s">
        <v>411</v>
      </c>
      <c r="H5" s="736">
        <v>5133</v>
      </c>
      <c r="I5"/>
      <c r="J5"/>
      <c r="L5" s="739" t="s">
        <v>411</v>
      </c>
      <c r="M5" s="736"/>
    </row>
    <row r="6" spans="1:13">
      <c r="A6" s="739" t="s">
        <v>413</v>
      </c>
      <c r="B6" s="450">
        <v>2139</v>
      </c>
      <c r="G6" s="739" t="s">
        <v>413</v>
      </c>
      <c r="H6" s="736">
        <v>2139</v>
      </c>
      <c r="I6"/>
      <c r="J6"/>
      <c r="L6" s="739" t="s">
        <v>413</v>
      </c>
      <c r="M6" s="736"/>
    </row>
    <row r="7" spans="1:13">
      <c r="A7" s="739" t="s">
        <v>424</v>
      </c>
      <c r="B7" s="450">
        <v>4875</v>
      </c>
      <c r="G7" s="739" t="s">
        <v>424</v>
      </c>
      <c r="H7" s="736">
        <v>4875</v>
      </c>
      <c r="I7"/>
      <c r="J7"/>
      <c r="L7" s="739" t="s">
        <v>424</v>
      </c>
      <c r="M7" s="736"/>
    </row>
    <row r="8" spans="1:13">
      <c r="A8" s="739" t="s">
        <v>426</v>
      </c>
      <c r="B8" s="450">
        <v>7033</v>
      </c>
      <c r="G8" s="739" t="s">
        <v>426</v>
      </c>
      <c r="H8" s="736">
        <v>7033</v>
      </c>
      <c r="I8"/>
      <c r="J8"/>
      <c r="L8" s="739" t="s">
        <v>426</v>
      </c>
      <c r="M8" s="736"/>
    </row>
    <row r="9" spans="1:13">
      <c r="A9" s="739" t="s">
        <v>423</v>
      </c>
      <c r="B9" s="450">
        <v>11056</v>
      </c>
      <c r="G9" s="739" t="s">
        <v>423</v>
      </c>
      <c r="H9" s="736">
        <v>11056</v>
      </c>
      <c r="I9"/>
      <c r="J9"/>
      <c r="L9" s="739" t="s">
        <v>423</v>
      </c>
      <c r="M9" s="736"/>
    </row>
    <row r="10" spans="1:13">
      <c r="A10" s="739" t="s">
        <v>2271</v>
      </c>
      <c r="B10" s="450">
        <v>2248</v>
      </c>
      <c r="G10" s="739" t="s">
        <v>2271</v>
      </c>
      <c r="H10" s="736">
        <v>0</v>
      </c>
      <c r="I10"/>
      <c r="J10"/>
      <c r="L10" s="739" t="s">
        <v>2271</v>
      </c>
      <c r="M10" s="736"/>
    </row>
    <row r="11" spans="1:13">
      <c r="A11" s="739" t="s">
        <v>2272</v>
      </c>
      <c r="B11" s="450">
        <v>2186</v>
      </c>
      <c r="G11" s="739" t="s">
        <v>2272</v>
      </c>
      <c r="H11" s="736">
        <v>0</v>
      </c>
      <c r="I11"/>
      <c r="J11"/>
      <c r="L11" s="739" t="s">
        <v>2272</v>
      </c>
      <c r="M11" s="736"/>
    </row>
    <row r="12" spans="1:13">
      <c r="A12" s="739" t="s">
        <v>367</v>
      </c>
      <c r="B12" s="450">
        <v>1067</v>
      </c>
      <c r="G12" s="739" t="s">
        <v>367</v>
      </c>
      <c r="H12" s="736">
        <v>1067</v>
      </c>
      <c r="I12"/>
      <c r="J12"/>
      <c r="L12" s="739" t="s">
        <v>367</v>
      </c>
      <c r="M12" s="736">
        <v>36</v>
      </c>
    </row>
    <row r="13" spans="1:13">
      <c r="A13" s="739" t="s">
        <v>409</v>
      </c>
      <c r="B13" s="450">
        <v>6674</v>
      </c>
      <c r="G13" s="739" t="s">
        <v>409</v>
      </c>
      <c r="H13" s="736">
        <v>6674</v>
      </c>
      <c r="I13"/>
      <c r="J13"/>
      <c r="L13" s="739" t="s">
        <v>409</v>
      </c>
      <c r="M13" s="736"/>
    </row>
    <row r="14" spans="1:13">
      <c r="A14" s="739" t="s">
        <v>430</v>
      </c>
      <c r="B14" s="450">
        <v>3486</v>
      </c>
      <c r="G14" s="739" t="s">
        <v>430</v>
      </c>
      <c r="H14" s="736">
        <v>0</v>
      </c>
      <c r="I14"/>
      <c r="J14"/>
      <c r="L14" s="739" t="s">
        <v>430</v>
      </c>
      <c r="M14" s="736"/>
    </row>
    <row r="15" spans="1:13">
      <c r="A15" s="739" t="s">
        <v>405</v>
      </c>
      <c r="B15" s="450">
        <v>5024</v>
      </c>
      <c r="G15" s="739" t="s">
        <v>405</v>
      </c>
      <c r="H15" s="736">
        <v>5024</v>
      </c>
      <c r="I15"/>
      <c r="J15"/>
      <c r="L15" s="739" t="s">
        <v>405</v>
      </c>
      <c r="M15" s="736"/>
    </row>
    <row r="16" spans="1:13">
      <c r="A16" s="739" t="s">
        <v>406</v>
      </c>
      <c r="B16" s="450">
        <v>5137</v>
      </c>
      <c r="G16" s="739" t="s">
        <v>406</v>
      </c>
      <c r="H16" s="736">
        <v>5137</v>
      </c>
      <c r="I16"/>
      <c r="J16"/>
      <c r="L16" s="739" t="s">
        <v>406</v>
      </c>
      <c r="M16" s="736"/>
    </row>
    <row r="17" spans="1:13">
      <c r="A17" s="739" t="s">
        <v>440</v>
      </c>
      <c r="B17" s="450">
        <v>3095</v>
      </c>
      <c r="G17" s="739" t="s">
        <v>440</v>
      </c>
      <c r="H17" s="736">
        <v>0</v>
      </c>
      <c r="I17"/>
      <c r="J17"/>
      <c r="L17" s="739" t="s">
        <v>440</v>
      </c>
      <c r="M17" s="736"/>
    </row>
    <row r="18" spans="1:13">
      <c r="A18" s="739" t="s">
        <v>431</v>
      </c>
      <c r="B18" s="450">
        <v>13302</v>
      </c>
      <c r="G18" s="739" t="s">
        <v>431</v>
      </c>
      <c r="H18" s="736">
        <v>0</v>
      </c>
      <c r="I18"/>
      <c r="J18"/>
      <c r="L18" s="739" t="s">
        <v>431</v>
      </c>
      <c r="M18" s="736"/>
    </row>
    <row r="19" spans="1:13">
      <c r="A19" s="739" t="s">
        <v>429</v>
      </c>
      <c r="B19" s="450">
        <v>11478</v>
      </c>
      <c r="G19" s="739" t="s">
        <v>429</v>
      </c>
      <c r="H19" s="736">
        <v>0</v>
      </c>
      <c r="I19"/>
      <c r="J19"/>
      <c r="L19" s="739" t="s">
        <v>429</v>
      </c>
      <c r="M19" s="736"/>
    </row>
    <row r="20" spans="1:13">
      <c r="A20" s="739" t="s">
        <v>2273</v>
      </c>
      <c r="B20" s="450">
        <v>2446</v>
      </c>
      <c r="G20" s="739" t="s">
        <v>2273</v>
      </c>
      <c r="H20" s="736">
        <v>0</v>
      </c>
      <c r="I20"/>
      <c r="J20"/>
      <c r="L20" s="739" t="s">
        <v>2273</v>
      </c>
      <c r="M20" s="736"/>
    </row>
    <row r="21" spans="1:13">
      <c r="A21" s="739" t="s">
        <v>438</v>
      </c>
      <c r="B21" s="450">
        <v>11564</v>
      </c>
      <c r="G21" s="739" t="s">
        <v>438</v>
      </c>
      <c r="H21" s="736">
        <v>0</v>
      </c>
      <c r="I21"/>
      <c r="J21"/>
      <c r="L21" s="739" t="s">
        <v>438</v>
      </c>
      <c r="M21" s="736"/>
    </row>
    <row r="22" spans="1:13">
      <c r="A22" s="739" t="s">
        <v>404</v>
      </c>
      <c r="B22" s="450">
        <v>2516</v>
      </c>
      <c r="G22" s="739" t="s">
        <v>404</v>
      </c>
      <c r="H22" s="736">
        <v>3668</v>
      </c>
      <c r="I22"/>
      <c r="J22"/>
      <c r="L22" s="739" t="s">
        <v>404</v>
      </c>
      <c r="M22" s="736"/>
    </row>
    <row r="23" spans="1:13">
      <c r="A23" s="739" t="s">
        <v>399</v>
      </c>
      <c r="B23" s="450">
        <v>0</v>
      </c>
      <c r="G23" s="739" t="s">
        <v>399</v>
      </c>
      <c r="H23" s="736">
        <v>0</v>
      </c>
      <c r="I23"/>
      <c r="J23"/>
      <c r="L23" s="739" t="s">
        <v>399</v>
      </c>
      <c r="M23" s="736"/>
    </row>
    <row r="24" spans="1:13">
      <c r="A24" s="739" t="s">
        <v>421</v>
      </c>
      <c r="B24" s="450">
        <v>6016</v>
      </c>
      <c r="G24" s="739" t="s">
        <v>421</v>
      </c>
      <c r="H24" s="736">
        <v>0</v>
      </c>
      <c r="I24"/>
      <c r="J24"/>
      <c r="L24" s="739" t="s">
        <v>421</v>
      </c>
      <c r="M24" s="736"/>
    </row>
    <row r="25" spans="1:13">
      <c r="A25" s="739" t="s">
        <v>425</v>
      </c>
      <c r="B25" s="450">
        <v>5950</v>
      </c>
      <c r="G25" s="739" t="s">
        <v>425</v>
      </c>
      <c r="H25" s="736">
        <v>0</v>
      </c>
      <c r="I25"/>
      <c r="J25"/>
      <c r="L25" s="739" t="s">
        <v>425</v>
      </c>
      <c r="M25" s="736"/>
    </row>
    <row r="26" spans="1:13">
      <c r="H26"/>
      <c r="I26"/>
      <c r="J26"/>
    </row>
    <row r="27" spans="1:13">
      <c r="H27"/>
      <c r="I27"/>
      <c r="J27"/>
    </row>
    <row r="28" spans="1:13">
      <c r="H28"/>
      <c r="I28"/>
      <c r="J28"/>
    </row>
    <row r="29" spans="1:13">
      <c r="H29"/>
      <c r="I29"/>
      <c r="J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DV27"/>
  <sheetViews>
    <sheetView zoomScale="90" zoomScaleNormal="90" zoomScaleSheetLayoutView="40" workbookViewId="0">
      <pane xSplit="8" ySplit="6" topLeftCell="I12" activePane="bottomRight" state="frozen"/>
      <selection pane="topRight" activeCell="I1" sqref="I1"/>
      <selection pane="bottomLeft" activeCell="A7" sqref="A7"/>
      <selection pane="bottomRight" activeCell="H15" sqref="H15"/>
    </sheetView>
  </sheetViews>
  <sheetFormatPr defaultColWidth="9" defaultRowHeight="15.5" outlineLevelCol="1"/>
  <cols>
    <col min="1" max="1" width="9.08203125" style="34" customWidth="1"/>
    <col min="2" max="2" width="8.9140625" style="34" customWidth="1"/>
    <col min="3" max="3" width="10.33203125" style="20" customWidth="1"/>
    <col min="4" max="4" width="15.33203125" style="20" bestFit="1" customWidth="1"/>
    <col min="5" max="5" width="12.58203125" style="20" customWidth="1"/>
    <col min="6" max="6" width="10.08203125" style="20" customWidth="1"/>
    <col min="7" max="7" width="4.6640625" style="20" customWidth="1"/>
    <col min="8" max="8" width="18.33203125" style="20" customWidth="1"/>
    <col min="9" max="9" width="7.6640625" style="20" customWidth="1"/>
    <col min="10" max="11" width="8.5" style="38" customWidth="1"/>
    <col min="12" max="12" width="14.83203125" style="20" customWidth="1"/>
    <col min="13" max="13" width="17.6640625" customWidth="1"/>
    <col min="14" max="14" width="16.83203125" customWidth="1"/>
    <col min="15" max="16" width="16.5" customWidth="1"/>
    <col min="17" max="18" width="16.5" style="451" customWidth="1"/>
    <col min="19" max="19" width="16.6640625" style="31" customWidth="1"/>
    <col min="20" max="20" width="18.25" style="31" customWidth="1"/>
    <col min="21" max="21" width="13.08203125" style="31" customWidth="1"/>
    <col min="22" max="22" width="14.58203125" style="31" customWidth="1"/>
    <col min="23" max="27" width="13.08203125" style="31" customWidth="1"/>
    <col min="28" max="28" width="20.08203125" style="31" customWidth="1"/>
    <col min="29" max="29" width="16.1640625" style="20" customWidth="1"/>
    <col min="30" max="30" width="14.83203125" style="32" customWidth="1"/>
    <col min="31" max="31" width="13.1640625" style="32" customWidth="1"/>
    <col min="32" max="32" width="13.08203125" style="33" customWidth="1"/>
    <col min="33" max="34" width="17.58203125" style="20" customWidth="1"/>
    <col min="35" max="35" width="17.58203125" style="33" customWidth="1"/>
    <col min="36" max="36" width="13.08203125" style="33" customWidth="1"/>
    <col min="37" max="37" width="15.58203125" style="33" customWidth="1"/>
    <col min="38" max="39" width="13.08203125" style="33" customWidth="1"/>
    <col min="40" max="40" width="16.83203125" style="35" customWidth="1"/>
    <col min="41" max="41" width="21.6640625" style="35" customWidth="1"/>
    <col min="42" max="42" width="12.33203125" style="35" customWidth="1"/>
    <col min="43" max="43" width="13.08203125" style="35" customWidth="1"/>
    <col min="44" max="44" width="15" style="35" customWidth="1"/>
    <col min="45" max="45" width="16.33203125" style="35" customWidth="1"/>
    <col min="46" max="46" width="15.5" style="35" customWidth="1"/>
    <col min="47" max="47" width="15.6640625" style="35" customWidth="1"/>
    <col min="48" max="49" width="13.08203125" style="35" customWidth="1"/>
    <col min="50" max="50" width="13.08203125" style="32" customWidth="1"/>
    <col min="51" max="51" width="26.6640625" customWidth="1"/>
    <col min="52" max="52" width="15.6640625" style="35" customWidth="1"/>
    <col min="53" max="53" width="16.6640625" style="35" customWidth="1"/>
    <col min="54" max="54" width="15.33203125" style="35" customWidth="1"/>
    <col min="55" max="56" width="13.08203125" style="35" customWidth="1"/>
    <col min="57" max="63" width="15.58203125" style="35" customWidth="1"/>
    <col min="64" max="65" width="13.08203125" style="35" customWidth="1" outlineLevel="1"/>
    <col min="66" max="66" width="11.08203125" style="35" customWidth="1" outlineLevel="1"/>
    <col min="67" max="67" width="15.5" customWidth="1" outlineLevel="1"/>
    <col min="68" max="68" width="20.33203125" style="33" customWidth="1" outlineLevel="1"/>
    <col min="69" max="69" width="13.1640625" style="31" customWidth="1" outlineLevel="1"/>
    <col min="70" max="70" width="18.83203125" style="31" customWidth="1" outlineLevel="1"/>
    <col min="71" max="71" width="13.08203125" style="33" customWidth="1" outlineLevel="1"/>
    <col min="72" max="72" width="14" style="31" customWidth="1" outlineLevel="1"/>
    <col min="73" max="73" width="15.5" style="31" customWidth="1" outlineLevel="1"/>
    <col min="74" max="74" width="18.33203125" style="33" customWidth="1" outlineLevel="1"/>
    <col min="75" max="76" width="18.1640625" style="33" customWidth="1" outlineLevel="1"/>
    <col min="77" max="78" width="15.58203125" style="33" customWidth="1" outlineLevel="1"/>
    <col min="79" max="79" width="12.6640625" style="33" customWidth="1" outlineLevel="1"/>
    <col min="80" max="80" width="19.1640625" style="33" customWidth="1" outlineLevel="1"/>
    <col min="81" max="81" width="9" customWidth="1" outlineLevel="1"/>
    <col min="82" max="82" width="12.08203125" style="32" customWidth="1" outlineLevel="1"/>
    <col min="83" max="83" width="15.1640625" style="33" customWidth="1" outlineLevel="1"/>
    <col min="84" max="84" width="18" customWidth="1" outlineLevel="1"/>
    <col min="85" max="85" width="16.33203125" style="33" customWidth="1" outlineLevel="1"/>
    <col min="86" max="86" width="13.1640625" style="33" customWidth="1" outlineLevel="1"/>
    <col min="87" max="87" width="12" style="33" customWidth="1" outlineLevel="1"/>
    <col min="88" max="88" width="15.5" style="33" customWidth="1" outlineLevel="1"/>
    <col min="89" max="89" width="15.33203125" style="33" customWidth="1" outlineLevel="1"/>
    <col min="90" max="90" width="14.1640625" style="33" customWidth="1" outlineLevel="1"/>
    <col min="91" max="91" width="11.83203125" style="33" customWidth="1" outlineLevel="1"/>
    <col min="92" max="92" width="17.83203125" customWidth="1" outlineLevel="1"/>
    <col min="93" max="93" width="17.83203125" style="451" customWidth="1" outlineLevel="1"/>
    <col min="94" max="95" width="22.58203125" style="451" customWidth="1" outlineLevel="1"/>
    <col min="96" max="96" width="15.83203125" style="451" customWidth="1" outlineLevel="1"/>
    <col min="97" max="98" width="16.33203125" style="350" customWidth="1"/>
    <col min="99" max="102" width="12" style="33" customWidth="1"/>
    <col min="103" max="103" width="11.6640625" customWidth="1"/>
    <col min="104" max="104" width="13.6640625" style="33" customWidth="1"/>
    <col min="105" max="105" width="24.33203125" style="33" customWidth="1"/>
    <col min="106" max="108" width="16.58203125" style="33" customWidth="1"/>
    <col min="109" max="109" width="22.6640625" style="35" customWidth="1"/>
    <col min="110" max="111" width="12" style="31" customWidth="1"/>
    <col min="112" max="113" width="12" style="33" customWidth="1"/>
    <col min="115" max="115" width="15.33203125" style="33" customWidth="1"/>
    <col min="116" max="116" width="10.08203125" style="36" customWidth="1"/>
    <col min="117" max="117" width="12" style="36" customWidth="1"/>
    <col min="118" max="118" width="21.08203125" style="37" bestFit="1" customWidth="1"/>
    <col min="119" max="119" width="11.1640625" style="37" customWidth="1"/>
    <col min="120" max="120" width="13.6640625" style="37" customWidth="1"/>
    <col min="121" max="121" width="24.83203125" style="37" customWidth="1"/>
    <col min="122" max="122" width="9.08203125" style="37" customWidth="1"/>
    <col min="123" max="123" width="10.58203125" style="37" customWidth="1"/>
    <col min="124" max="124" width="15.33203125" style="37" customWidth="1"/>
    <col min="125" max="125" width="9.5" style="37" customWidth="1"/>
    <col min="126" max="126" width="14.5" style="37" customWidth="1"/>
    <col min="127" max="127" width="9" style="20" customWidth="1"/>
    <col min="128" max="16384" width="9" style="20"/>
  </cols>
  <sheetData>
    <row r="1" spans="1:114" s="19" customFormat="1" ht="16.5" hidden="1" customHeight="1">
      <c r="A1" s="221"/>
      <c r="B1" s="227" t="s">
        <v>2334</v>
      </c>
      <c r="C1" s="227"/>
      <c r="D1" s="227"/>
      <c r="E1" s="225" t="s">
        <v>2332</v>
      </c>
      <c r="F1" s="216"/>
      <c r="G1" s="216"/>
      <c r="H1" s="216"/>
      <c r="I1" s="216"/>
      <c r="J1" s="216"/>
      <c r="K1" s="740"/>
      <c r="L1" s="971" t="s">
        <v>2333</v>
      </c>
      <c r="M1" s="972"/>
      <c r="N1" s="68"/>
      <c r="O1" s="222" t="s">
        <v>1972</v>
      </c>
      <c r="P1" s="222"/>
      <c r="Q1" s="222"/>
      <c r="R1" s="222"/>
      <c r="S1" s="222"/>
      <c r="T1" s="222"/>
      <c r="U1" s="222"/>
      <c r="V1" s="222"/>
      <c r="W1" s="222"/>
      <c r="X1" s="222"/>
      <c r="Y1" s="222"/>
      <c r="Z1" s="222"/>
      <c r="AA1" s="222"/>
      <c r="AB1" s="222"/>
      <c r="AC1" s="223" t="s">
        <v>1973</v>
      </c>
      <c r="AD1" s="223"/>
      <c r="AE1" s="223"/>
      <c r="AF1" s="223"/>
      <c r="AG1" s="223"/>
      <c r="AH1" s="223"/>
      <c r="AI1" s="223"/>
      <c r="AJ1" s="223"/>
      <c r="AK1" s="223"/>
      <c r="AL1" s="223"/>
      <c r="AM1" s="223"/>
      <c r="AN1" s="223"/>
      <c r="AO1" s="223"/>
      <c r="AP1" s="224" t="s">
        <v>1974</v>
      </c>
      <c r="AQ1" s="224"/>
      <c r="AR1" s="224"/>
      <c r="AS1" s="224"/>
      <c r="AT1" s="224"/>
      <c r="AU1" s="224"/>
      <c r="AV1" s="224"/>
      <c r="AW1" s="224"/>
      <c r="AX1" s="741"/>
      <c r="AY1" s="224"/>
      <c r="AZ1" s="981" t="s">
        <v>2931</v>
      </c>
      <c r="BA1" s="982"/>
      <c r="BB1" s="982"/>
      <c r="BC1" s="983"/>
      <c r="BD1" s="718" t="s">
        <v>2950</v>
      </c>
      <c r="BE1" s="980" t="s">
        <v>2980</v>
      </c>
      <c r="BF1" s="980"/>
      <c r="BG1" s="980"/>
      <c r="BH1" s="852"/>
      <c r="BI1" s="852"/>
      <c r="BJ1" s="852"/>
      <c r="BK1" s="852"/>
      <c r="BL1" s="69" t="s">
        <v>111</v>
      </c>
      <c r="BM1" s="69"/>
      <c r="BN1" s="69"/>
      <c r="BO1" s="69"/>
      <c r="BP1" s="71"/>
      <c r="BQ1" s="71"/>
      <c r="BR1" s="69"/>
      <c r="BS1" s="69"/>
      <c r="BT1" s="69"/>
      <c r="BU1" s="69"/>
      <c r="BV1" s="69"/>
      <c r="BW1" s="71"/>
      <c r="BX1" s="71"/>
      <c r="BY1" s="71"/>
      <c r="BZ1" s="71"/>
      <c r="CA1" s="69"/>
      <c r="CB1" s="69"/>
      <c r="CC1" s="69"/>
      <c r="CD1" s="69"/>
      <c r="CE1" s="71"/>
      <c r="CF1" s="71"/>
      <c r="CG1" s="71"/>
      <c r="CH1" s="71"/>
      <c r="CI1" s="71"/>
      <c r="CJ1" s="69"/>
      <c r="CK1" s="69"/>
      <c r="CL1" s="69"/>
      <c r="CM1" s="69"/>
      <c r="CN1" s="69"/>
      <c r="CO1" s="69"/>
      <c r="CP1" s="69"/>
      <c r="CQ1" s="69"/>
      <c r="CR1" s="69"/>
      <c r="CS1" s="147"/>
      <c r="CT1" s="147"/>
      <c r="CU1" s="148"/>
      <c r="CV1" s="148"/>
      <c r="CW1" s="148"/>
      <c r="CX1" s="148"/>
      <c r="CY1" s="148"/>
      <c r="CZ1" s="148"/>
      <c r="DA1" s="148"/>
      <c r="DB1" s="148"/>
      <c r="DC1" s="148"/>
      <c r="DD1" s="148"/>
      <c r="DE1" s="148"/>
    </row>
    <row r="2" spans="1:114" s="531" customFormat="1" ht="21" customHeight="1" thickBot="1">
      <c r="A2" s="215" t="s">
        <v>0</v>
      </c>
      <c r="B2" s="226" t="s">
        <v>1</v>
      </c>
      <c r="C2" s="226" t="s">
        <v>2</v>
      </c>
      <c r="D2" s="226" t="s">
        <v>3</v>
      </c>
      <c r="E2" s="216" t="s">
        <v>4</v>
      </c>
      <c r="F2" s="216" t="s">
        <v>1149</v>
      </c>
      <c r="G2" s="216" t="s">
        <v>5</v>
      </c>
      <c r="H2" s="216" t="s">
        <v>6</v>
      </c>
      <c r="I2" s="216" t="s">
        <v>50</v>
      </c>
      <c r="J2" s="216" t="s">
        <v>51</v>
      </c>
      <c r="K2" s="216"/>
      <c r="L2" s="214" t="s">
        <v>53</v>
      </c>
      <c r="M2" s="214" t="s">
        <v>55</v>
      </c>
      <c r="N2" s="215" t="s">
        <v>57</v>
      </c>
      <c r="O2" s="524" t="s">
        <v>112</v>
      </c>
      <c r="P2" s="524" t="s">
        <v>113</v>
      </c>
      <c r="Q2" s="524" t="s">
        <v>59</v>
      </c>
      <c r="R2" s="524" t="s">
        <v>58</v>
      </c>
      <c r="S2" s="524" t="s">
        <v>60</v>
      </c>
      <c r="T2" s="524" t="s">
        <v>1150</v>
      </c>
      <c r="U2" s="524" t="s">
        <v>62</v>
      </c>
      <c r="V2" s="524" t="s">
        <v>63</v>
      </c>
      <c r="W2" s="524" t="s">
        <v>64</v>
      </c>
      <c r="X2" s="524" t="s">
        <v>65</v>
      </c>
      <c r="Y2" s="524" t="s">
        <v>1151</v>
      </c>
      <c r="Z2" s="524" t="s">
        <v>66</v>
      </c>
      <c r="AA2" s="524" t="s">
        <v>67</v>
      </c>
      <c r="AB2" s="524" t="s">
        <v>68</v>
      </c>
      <c r="AC2" s="520" t="s">
        <v>69</v>
      </c>
      <c r="AD2" s="520" t="s">
        <v>1284</v>
      </c>
      <c r="AE2" s="520" t="s">
        <v>1285</v>
      </c>
      <c r="AF2" s="520" t="s">
        <v>1286</v>
      </c>
      <c r="AG2" s="520" t="s">
        <v>1287</v>
      </c>
      <c r="AH2" s="520" t="s">
        <v>1288</v>
      </c>
      <c r="AI2" s="520" t="s">
        <v>1289</v>
      </c>
      <c r="AJ2" s="520" t="s">
        <v>1290</v>
      </c>
      <c r="AK2" s="520" t="s">
        <v>1291</v>
      </c>
      <c r="AL2" s="520" t="s">
        <v>1292</v>
      </c>
      <c r="AM2" s="520" t="s">
        <v>1293</v>
      </c>
      <c r="AN2" s="520" t="s">
        <v>1959</v>
      </c>
      <c r="AO2" s="520" t="s">
        <v>1960</v>
      </c>
      <c r="AP2" s="521" t="s">
        <v>2198</v>
      </c>
      <c r="AQ2" s="521" t="s">
        <v>2302</v>
      </c>
      <c r="AR2" s="521" t="s">
        <v>2303</v>
      </c>
      <c r="AS2" s="521" t="s">
        <v>2304</v>
      </c>
      <c r="AT2" s="521" t="s">
        <v>2305</v>
      </c>
      <c r="AU2" s="521" t="s">
        <v>2307</v>
      </c>
      <c r="AV2" s="521" t="s">
        <v>2308</v>
      </c>
      <c r="AW2" s="521" t="s">
        <v>2309</v>
      </c>
      <c r="AX2" s="521" t="s">
        <v>2310</v>
      </c>
      <c r="AY2" s="521" t="s">
        <v>2311</v>
      </c>
      <c r="AZ2" s="522" t="s">
        <v>2312</v>
      </c>
      <c r="BA2" s="522" t="s">
        <v>2313</v>
      </c>
      <c r="BB2" s="522" t="s">
        <v>2314</v>
      </c>
      <c r="BC2" s="522" t="s">
        <v>2315</v>
      </c>
      <c r="BD2" s="523" t="s">
        <v>2316</v>
      </c>
      <c r="BE2" s="717" t="s">
        <v>2317</v>
      </c>
      <c r="BF2" s="821" t="s">
        <v>2318</v>
      </c>
      <c r="BG2" s="821" t="s">
        <v>2322</v>
      </c>
      <c r="BH2" s="856" t="s">
        <v>2323</v>
      </c>
      <c r="BI2" s="856" t="s">
        <v>2325</v>
      </c>
      <c r="BJ2" s="856" t="s">
        <v>2327</v>
      </c>
      <c r="BK2" s="856" t="s">
        <v>2328</v>
      </c>
      <c r="BL2" s="973" t="s">
        <v>2011</v>
      </c>
      <c r="BM2" s="974"/>
      <c r="BN2" s="975"/>
      <c r="BO2" s="977"/>
      <c r="BP2" s="979" t="s">
        <v>74</v>
      </c>
      <c r="BQ2" s="984"/>
      <c r="BR2" s="953" t="s">
        <v>2471</v>
      </c>
      <c r="BS2" s="954"/>
      <c r="BT2" s="957" t="s">
        <v>2470</v>
      </c>
      <c r="BU2" s="958"/>
      <c r="BV2" s="508"/>
      <c r="BW2" s="952" t="s">
        <v>2473</v>
      </c>
      <c r="BX2" s="737"/>
      <c r="BY2" s="952"/>
      <c r="BZ2" s="694"/>
      <c r="CA2" s="963"/>
      <c r="CB2" s="964" t="s">
        <v>1912</v>
      </c>
      <c r="CC2" s="965"/>
      <c r="CD2" s="962"/>
      <c r="CE2" s="822"/>
      <c r="CF2" s="525"/>
      <c r="CG2" s="525"/>
      <c r="CH2" s="525"/>
      <c r="CI2" s="525"/>
      <c r="CJ2" s="526"/>
      <c r="CK2" s="527" t="s">
        <v>1912</v>
      </c>
      <c r="CL2" s="528"/>
      <c r="CM2" s="525"/>
      <c r="CN2" s="525"/>
      <c r="CO2" s="688"/>
      <c r="CP2" s="688"/>
      <c r="CQ2" s="688"/>
      <c r="CR2" s="688"/>
      <c r="CS2" s="529" t="s">
        <v>7</v>
      </c>
      <c r="CT2" s="530" t="s">
        <v>8</v>
      </c>
      <c r="CU2" s="530" t="s">
        <v>9</v>
      </c>
      <c r="CV2" s="530" t="s">
        <v>10</v>
      </c>
      <c r="CW2" s="530" t="s">
        <v>11</v>
      </c>
      <c r="CX2" s="530" t="s">
        <v>12</v>
      </c>
      <c r="CY2" s="530" t="s">
        <v>13</v>
      </c>
      <c r="CZ2" s="530" t="s">
        <v>14</v>
      </c>
      <c r="DA2" s="530" t="s">
        <v>15</v>
      </c>
      <c r="DB2" s="530"/>
      <c r="DC2" s="530"/>
      <c r="DD2" s="530"/>
      <c r="DE2" s="530"/>
    </row>
    <row r="3" spans="1:114" s="250" customFormat="1" ht="90.75" hidden="1" customHeight="1" thickBot="1">
      <c r="A3" s="304" t="s">
        <v>2337</v>
      </c>
      <c r="B3" s="305" t="s">
        <v>2338</v>
      </c>
      <c r="C3" s="305" t="s">
        <v>2339</v>
      </c>
      <c r="D3" s="305" t="s">
        <v>2340</v>
      </c>
      <c r="E3" s="306" t="s">
        <v>2341</v>
      </c>
      <c r="F3" s="306" t="s">
        <v>2342</v>
      </c>
      <c r="G3" s="306" t="s">
        <v>2343</v>
      </c>
      <c r="H3" s="306" t="s">
        <v>2344</v>
      </c>
      <c r="I3" s="306" t="s">
        <v>2386</v>
      </c>
      <c r="J3" s="306" t="s">
        <v>2385</v>
      </c>
      <c r="K3" s="306"/>
      <c r="L3" s="307" t="s">
        <v>2345</v>
      </c>
      <c r="M3" s="307" t="s">
        <v>2346</v>
      </c>
      <c r="N3" s="304" t="s">
        <v>2442</v>
      </c>
      <c r="O3" s="562"/>
      <c r="P3" s="562"/>
      <c r="Q3" s="562"/>
      <c r="R3" s="562"/>
      <c r="S3" s="562"/>
      <c r="T3" s="562"/>
      <c r="U3" s="563"/>
      <c r="V3" s="563"/>
      <c r="W3" s="563"/>
      <c r="X3" s="563"/>
      <c r="Y3" s="563"/>
      <c r="Z3" s="563"/>
      <c r="AA3" s="563"/>
      <c r="AB3" s="564"/>
      <c r="AC3" s="565"/>
      <c r="AD3" s="565"/>
      <c r="AE3" s="565"/>
      <c r="AF3" s="565"/>
      <c r="AG3" s="565"/>
      <c r="AH3" s="565"/>
      <c r="AI3" s="565"/>
      <c r="AJ3" s="565"/>
      <c r="AK3" s="565"/>
      <c r="AL3" s="199"/>
      <c r="AM3" s="285"/>
      <c r="AN3" s="565"/>
      <c r="AO3" s="566"/>
      <c r="AP3" s="567"/>
      <c r="AQ3" s="567"/>
      <c r="AR3" s="567"/>
      <c r="AS3" s="567"/>
      <c r="AT3" s="567"/>
      <c r="AU3" s="567"/>
      <c r="AV3" s="568"/>
      <c r="AW3" s="567"/>
      <c r="AX3" s="742"/>
      <c r="AY3" s="569"/>
      <c r="AZ3" s="570"/>
      <c r="BA3" s="570"/>
      <c r="BB3" s="570"/>
      <c r="BC3" s="570"/>
      <c r="BD3" s="712"/>
      <c r="BE3" s="713"/>
      <c r="BF3" s="713"/>
      <c r="BG3" s="714"/>
      <c r="BH3" s="714"/>
      <c r="BI3" s="714"/>
      <c r="BJ3" s="714"/>
      <c r="BK3" s="714"/>
      <c r="BL3" s="976"/>
      <c r="BM3" s="977"/>
      <c r="BN3" s="978"/>
      <c r="BO3" s="977"/>
      <c r="BP3" s="979" t="s">
        <v>74</v>
      </c>
      <c r="BQ3" s="985"/>
      <c r="BR3" s="955"/>
      <c r="BS3" s="956"/>
      <c r="BT3" s="572"/>
      <c r="BU3" s="573"/>
      <c r="BV3" s="396"/>
      <c r="BW3" s="952" t="s">
        <v>2473</v>
      </c>
      <c r="BX3" s="737"/>
      <c r="BY3" s="952"/>
      <c r="BZ3" s="694"/>
      <c r="CA3" s="963"/>
      <c r="CB3" s="966"/>
      <c r="CC3" s="967"/>
      <c r="CD3" s="962"/>
      <c r="CE3" s="322" t="s">
        <v>2477</v>
      </c>
      <c r="CF3" s="321"/>
      <c r="CG3" s="321"/>
      <c r="CH3" s="322" t="s">
        <v>2476</v>
      </c>
      <c r="CI3" s="327" t="s">
        <v>1611</v>
      </c>
      <c r="CJ3" s="328"/>
      <c r="CK3" s="334"/>
      <c r="CL3" s="331"/>
      <c r="CM3" s="321"/>
      <c r="CN3" s="321"/>
      <c r="CO3" s="689"/>
      <c r="CP3" s="689"/>
      <c r="CQ3" s="689"/>
      <c r="CR3" s="689"/>
      <c r="CS3" s="248"/>
      <c r="CT3" s="249"/>
      <c r="CU3" s="249"/>
      <c r="CV3" s="249"/>
      <c r="CW3" s="249"/>
      <c r="CX3" s="249"/>
      <c r="CY3" s="249"/>
      <c r="CZ3" s="249"/>
      <c r="DA3" s="249"/>
      <c r="DB3" s="249"/>
      <c r="DC3" s="249"/>
      <c r="DD3" s="249"/>
      <c r="DE3" s="249"/>
    </row>
    <row r="4" spans="1:114" s="559" customFormat="1" ht="87" customHeight="1" thickBot="1">
      <c r="A4" s="300" t="s">
        <v>2279</v>
      </c>
      <c r="B4" s="301" t="s">
        <v>2281</v>
      </c>
      <c r="C4" s="301" t="s">
        <v>2283</v>
      </c>
      <c r="D4" s="301" t="s">
        <v>2285</v>
      </c>
      <c r="E4" s="302" t="s">
        <v>21</v>
      </c>
      <c r="F4" s="302" t="s">
        <v>22</v>
      </c>
      <c r="G4" s="302" t="s">
        <v>2287</v>
      </c>
      <c r="H4" s="302" t="s">
        <v>2288</v>
      </c>
      <c r="I4" s="302" t="s">
        <v>24</v>
      </c>
      <c r="J4" s="302" t="s">
        <v>1871</v>
      </c>
      <c r="K4" s="302" t="s">
        <v>2998</v>
      </c>
      <c r="L4" s="303" t="s">
        <v>2290</v>
      </c>
      <c r="M4" s="303" t="s">
        <v>2292</v>
      </c>
      <c r="N4" s="300" t="s">
        <v>2434</v>
      </c>
      <c r="O4" s="515" t="s">
        <v>3061</v>
      </c>
      <c r="P4" s="515" t="s">
        <v>3062</v>
      </c>
      <c r="Q4" s="515" t="s">
        <v>3065</v>
      </c>
      <c r="R4" s="515" t="s">
        <v>3066</v>
      </c>
      <c r="S4" s="515" t="s">
        <v>3067</v>
      </c>
      <c r="T4" s="187" t="s">
        <v>3068</v>
      </c>
      <c r="U4" s="187" t="s">
        <v>2845</v>
      </c>
      <c r="V4" s="187" t="s">
        <v>3069</v>
      </c>
      <c r="W4" s="187" t="s">
        <v>2846</v>
      </c>
      <c r="X4" s="187" t="s">
        <v>3071</v>
      </c>
      <c r="Y4" s="563" t="s">
        <v>2811</v>
      </c>
      <c r="Z4" s="187" t="s">
        <v>3073</v>
      </c>
      <c r="AA4" s="187" t="s">
        <v>3074</v>
      </c>
      <c r="AB4" s="564" t="s">
        <v>2873</v>
      </c>
      <c r="AC4" s="199" t="s">
        <v>2847</v>
      </c>
      <c r="AD4" s="565" t="s">
        <v>2848</v>
      </c>
      <c r="AE4" s="565" t="s">
        <v>2849</v>
      </c>
      <c r="AF4" s="199" t="s">
        <v>3077</v>
      </c>
      <c r="AG4" s="565" t="s">
        <v>2850</v>
      </c>
      <c r="AH4" s="565" t="s">
        <v>2851</v>
      </c>
      <c r="AI4" s="565" t="s">
        <v>3079</v>
      </c>
      <c r="AJ4" s="565" t="s">
        <v>2852</v>
      </c>
      <c r="AK4" s="565" t="s">
        <v>2853</v>
      </c>
      <c r="AL4" s="199" t="s">
        <v>2973</v>
      </c>
      <c r="AM4" s="285" t="s">
        <v>2974</v>
      </c>
      <c r="AN4" s="565" t="s">
        <v>2854</v>
      </c>
      <c r="AO4" s="566" t="s">
        <v>2872</v>
      </c>
      <c r="AP4" s="567" t="s">
        <v>2855</v>
      </c>
      <c r="AQ4" s="567" t="s">
        <v>2856</v>
      </c>
      <c r="AR4" s="567" t="s">
        <v>2857</v>
      </c>
      <c r="AS4" s="567" t="s">
        <v>2858</v>
      </c>
      <c r="AT4" s="567" t="s">
        <v>2859</v>
      </c>
      <c r="AU4" s="567" t="s">
        <v>2860</v>
      </c>
      <c r="AV4" s="568" t="s">
        <v>2861</v>
      </c>
      <c r="AW4" s="287" t="s">
        <v>3081</v>
      </c>
      <c r="AX4" s="568" t="s">
        <v>3082</v>
      </c>
      <c r="AY4" s="569" t="s">
        <v>2870</v>
      </c>
      <c r="AZ4" s="570" t="s">
        <v>2863</v>
      </c>
      <c r="BA4" s="570" t="s">
        <v>2864</v>
      </c>
      <c r="BB4" s="570" t="s">
        <v>2956</v>
      </c>
      <c r="BC4" s="570" t="s">
        <v>2812</v>
      </c>
      <c r="BD4" s="571" t="s">
        <v>2814</v>
      </c>
      <c r="BE4" s="517" t="s">
        <v>3085</v>
      </c>
      <c r="BF4" s="517" t="s">
        <v>3086</v>
      </c>
      <c r="BG4" s="517" t="s">
        <v>3087</v>
      </c>
      <c r="BH4" s="860" t="s">
        <v>3145</v>
      </c>
      <c r="BI4" s="860" t="s">
        <v>3146</v>
      </c>
      <c r="BJ4" s="860" t="s">
        <v>3147</v>
      </c>
      <c r="BK4" s="860" t="s">
        <v>3148</v>
      </c>
      <c r="BL4" s="720" t="s">
        <v>3119</v>
      </c>
      <c r="BM4" s="720" t="s">
        <v>3120</v>
      </c>
      <c r="BN4" s="544" t="s">
        <v>2468</v>
      </c>
      <c r="BO4" s="543" t="s">
        <v>2874</v>
      </c>
      <c r="BP4" s="545" t="s">
        <v>114</v>
      </c>
      <c r="BQ4" s="546" t="s">
        <v>115</v>
      </c>
      <c r="BR4" s="764" t="s">
        <v>3014</v>
      </c>
      <c r="BS4" s="547" t="s">
        <v>2474</v>
      </c>
      <c r="BT4" s="542" t="s">
        <v>117</v>
      </c>
      <c r="BU4" s="547" t="s">
        <v>116</v>
      </c>
      <c r="BV4" s="548" t="s">
        <v>2894</v>
      </c>
      <c r="BW4" s="548" t="s">
        <v>2472</v>
      </c>
      <c r="BX4" s="548" t="s">
        <v>2995</v>
      </c>
      <c r="BY4" s="549" t="s">
        <v>2336</v>
      </c>
      <c r="BZ4" s="549" t="s">
        <v>2981</v>
      </c>
      <c r="CA4" s="550" t="s">
        <v>119</v>
      </c>
      <c r="CB4" s="551" t="s">
        <v>118</v>
      </c>
      <c r="CC4" s="552" t="s">
        <v>2865</v>
      </c>
      <c r="CD4" s="553" t="s">
        <v>2866</v>
      </c>
      <c r="CE4" s="554" t="s">
        <v>75</v>
      </c>
      <c r="CF4" s="554" t="s">
        <v>1899</v>
      </c>
      <c r="CG4" s="554" t="s">
        <v>1900</v>
      </c>
      <c r="CH4" s="554" t="s">
        <v>1898</v>
      </c>
      <c r="CI4" s="555" t="s">
        <v>2478</v>
      </c>
      <c r="CJ4" s="556" t="s">
        <v>120</v>
      </c>
      <c r="CK4" s="557" t="s">
        <v>2867</v>
      </c>
      <c r="CL4" s="558" t="s">
        <v>121</v>
      </c>
      <c r="CM4" s="554" t="s">
        <v>122</v>
      </c>
      <c r="CN4" s="554" t="s">
        <v>2687</v>
      </c>
      <c r="CO4" s="570" t="s">
        <v>2956</v>
      </c>
      <c r="CP4" s="721" t="s">
        <v>2987</v>
      </c>
      <c r="CQ4" s="721" t="s">
        <v>3172</v>
      </c>
      <c r="CR4" s="721" t="s">
        <v>3161</v>
      </c>
      <c r="CS4" s="267" t="s">
        <v>27</v>
      </c>
      <c r="CT4" s="268" t="s">
        <v>28</v>
      </c>
      <c r="CU4" s="268" t="s">
        <v>124</v>
      </c>
      <c r="CV4" s="268" t="s">
        <v>29</v>
      </c>
      <c r="CW4" s="268" t="s">
        <v>30</v>
      </c>
      <c r="CX4" s="268" t="s">
        <v>31</v>
      </c>
      <c r="CY4" s="268" t="s">
        <v>32</v>
      </c>
      <c r="CZ4" s="268" t="s">
        <v>33</v>
      </c>
      <c r="DA4" s="268" t="s">
        <v>34</v>
      </c>
      <c r="DB4" s="268"/>
      <c r="DC4" s="268"/>
      <c r="DD4" s="268"/>
      <c r="DE4" s="268" t="s">
        <v>35</v>
      </c>
      <c r="DF4" s="960" t="s">
        <v>2949</v>
      </c>
      <c r="DG4" s="961"/>
      <c r="DH4" s="961"/>
    </row>
    <row r="5" spans="1:114" s="269" customFormat="1" ht="27" customHeight="1" thickBot="1">
      <c r="A5" s="263" t="s">
        <v>16</v>
      </c>
      <c r="B5" s="264" t="s">
        <v>16</v>
      </c>
      <c r="C5" s="264" t="s">
        <v>16</v>
      </c>
      <c r="D5" s="264" t="s">
        <v>18</v>
      </c>
      <c r="E5" s="265" t="s">
        <v>16</v>
      </c>
      <c r="F5" s="265" t="s">
        <v>16</v>
      </c>
      <c r="G5" s="265" t="s">
        <v>2413</v>
      </c>
      <c r="H5" s="265" t="s">
        <v>16</v>
      </c>
      <c r="I5" s="265" t="s">
        <v>17</v>
      </c>
      <c r="J5" s="265" t="s">
        <v>17</v>
      </c>
      <c r="K5" s="265" t="s">
        <v>17</v>
      </c>
      <c r="L5" s="266" t="s">
        <v>19</v>
      </c>
      <c r="M5" s="266" t="s">
        <v>19</v>
      </c>
      <c r="N5" s="263" t="s">
        <v>17</v>
      </c>
      <c r="O5" s="532" t="s">
        <v>17</v>
      </c>
      <c r="P5" s="532" t="s">
        <v>17</v>
      </c>
      <c r="Q5" s="532" t="s">
        <v>17</v>
      </c>
      <c r="R5" s="532" t="s">
        <v>17</v>
      </c>
      <c r="S5" s="532" t="s">
        <v>17</v>
      </c>
      <c r="T5" s="532" t="s">
        <v>17</v>
      </c>
      <c r="U5" s="532" t="s">
        <v>17</v>
      </c>
      <c r="V5" s="532" t="s">
        <v>54</v>
      </c>
      <c r="W5" s="532" t="s">
        <v>17</v>
      </c>
      <c r="X5" s="532" t="s">
        <v>54</v>
      </c>
      <c r="Y5" s="532" t="s">
        <v>17</v>
      </c>
      <c r="Z5" s="532" t="s">
        <v>17</v>
      </c>
      <c r="AA5" s="532" t="s">
        <v>17</v>
      </c>
      <c r="AB5" s="532" t="s">
        <v>18</v>
      </c>
      <c r="AC5" s="533" t="s">
        <v>17</v>
      </c>
      <c r="AD5" s="533" t="s">
        <v>17</v>
      </c>
      <c r="AE5" s="533" t="s">
        <v>17</v>
      </c>
      <c r="AF5" s="533" t="s">
        <v>17</v>
      </c>
      <c r="AG5" s="533" t="s">
        <v>54</v>
      </c>
      <c r="AH5" s="533" t="s">
        <v>54</v>
      </c>
      <c r="AI5" s="533" t="s">
        <v>54</v>
      </c>
      <c r="AJ5" s="533" t="s">
        <v>17</v>
      </c>
      <c r="AK5" s="533" t="s">
        <v>17</v>
      </c>
      <c r="AL5" s="533" t="s">
        <v>17</v>
      </c>
      <c r="AM5" s="533" t="s">
        <v>17</v>
      </c>
      <c r="AN5" s="533" t="s">
        <v>2294</v>
      </c>
      <c r="AO5" s="533" t="s">
        <v>18</v>
      </c>
      <c r="AP5" s="534" t="s">
        <v>17</v>
      </c>
      <c r="AQ5" s="534" t="s">
        <v>17</v>
      </c>
      <c r="AR5" s="534" t="s">
        <v>17</v>
      </c>
      <c r="AS5" s="534" t="s">
        <v>17</v>
      </c>
      <c r="AT5" s="534" t="s">
        <v>17</v>
      </c>
      <c r="AU5" s="534" t="s">
        <v>17</v>
      </c>
      <c r="AV5" s="534" t="s">
        <v>54</v>
      </c>
      <c r="AW5" s="534" t="s">
        <v>54</v>
      </c>
      <c r="AX5" s="743" t="s">
        <v>17</v>
      </c>
      <c r="AY5" s="534" t="s">
        <v>18</v>
      </c>
      <c r="AZ5" s="535" t="s">
        <v>54</v>
      </c>
      <c r="BA5" s="535" t="s">
        <v>54</v>
      </c>
      <c r="BB5" s="535" t="s">
        <v>54</v>
      </c>
      <c r="BC5" s="535" t="s">
        <v>54</v>
      </c>
      <c r="BD5" s="519" t="s">
        <v>54</v>
      </c>
      <c r="BE5" s="715" t="s">
        <v>17</v>
      </c>
      <c r="BF5" s="715" t="s">
        <v>17</v>
      </c>
      <c r="BG5" s="716" t="s">
        <v>17</v>
      </c>
      <c r="BH5" s="859" t="s">
        <v>17</v>
      </c>
      <c r="BI5" s="859" t="s">
        <v>17</v>
      </c>
      <c r="BJ5" s="859" t="s">
        <v>3151</v>
      </c>
      <c r="BK5" s="859" t="s">
        <v>18</v>
      </c>
      <c r="BL5" s="968"/>
      <c r="BM5" s="969"/>
      <c r="BN5" s="970"/>
      <c r="BO5" s="308" t="s">
        <v>54</v>
      </c>
      <c r="BP5" s="312" t="s">
        <v>17</v>
      </c>
      <c r="BQ5" s="314" t="s">
        <v>17</v>
      </c>
      <c r="BR5" s="968" t="s">
        <v>2012</v>
      </c>
      <c r="BS5" s="970"/>
      <c r="BT5" s="576" t="s">
        <v>17</v>
      </c>
      <c r="BU5" s="577" t="s">
        <v>17</v>
      </c>
      <c r="BV5" s="561" t="s">
        <v>54</v>
      </c>
      <c r="BW5" s="578" t="s">
        <v>17</v>
      </c>
      <c r="BX5" s="578"/>
      <c r="BY5" s="579" t="s">
        <v>17</v>
      </c>
      <c r="BZ5" s="719" t="s">
        <v>17</v>
      </c>
      <c r="CA5" s="560" t="s">
        <v>17</v>
      </c>
      <c r="CB5" s="580" t="s">
        <v>17</v>
      </c>
      <c r="CC5" s="581" t="s">
        <v>54</v>
      </c>
      <c r="CD5" s="317" t="s">
        <v>54</v>
      </c>
      <c r="CE5" s="323" t="s">
        <v>17</v>
      </c>
      <c r="CF5" s="324" t="s">
        <v>17</v>
      </c>
      <c r="CG5" s="324" t="s">
        <v>17</v>
      </c>
      <c r="CH5" s="324" t="s">
        <v>17</v>
      </c>
      <c r="CI5" s="324"/>
      <c r="CJ5" s="329" t="s">
        <v>54</v>
      </c>
      <c r="CK5" s="335" t="s">
        <v>54</v>
      </c>
      <c r="CL5" s="332" t="s">
        <v>54</v>
      </c>
      <c r="CM5" s="324" t="s">
        <v>54</v>
      </c>
      <c r="CN5" s="425"/>
      <c r="CO5" s="535" t="s">
        <v>54</v>
      </c>
      <c r="CP5" s="722" t="s">
        <v>17</v>
      </c>
      <c r="CQ5" s="722" t="s">
        <v>17</v>
      </c>
      <c r="CR5" s="722" t="s">
        <v>17</v>
      </c>
      <c r="CS5" s="267"/>
      <c r="CT5" s="268"/>
      <c r="CU5" s="268"/>
      <c r="CV5" s="268"/>
      <c r="CW5" s="268"/>
      <c r="CX5" s="268"/>
      <c r="CY5" s="268"/>
      <c r="CZ5" s="268"/>
      <c r="DA5" s="268"/>
      <c r="DB5" s="268"/>
      <c r="DC5" s="268"/>
      <c r="DD5" s="268"/>
      <c r="DE5" s="268"/>
      <c r="DF5" s="519"/>
      <c r="DG5" s="519"/>
      <c r="DH5" s="519"/>
      <c r="DI5" s="959" t="s">
        <v>3089</v>
      </c>
      <c r="DJ5" s="959"/>
    </row>
    <row r="6" spans="1:114" s="233" customFormat="1" ht="20.5" customHeight="1" thickTop="1" thickBot="1">
      <c r="A6" s="228" t="s">
        <v>20</v>
      </c>
      <c r="B6" s="218" t="s">
        <v>2281</v>
      </c>
      <c r="C6" s="218" t="s">
        <v>2283</v>
      </c>
      <c r="D6" s="218" t="s">
        <v>26</v>
      </c>
      <c r="E6" s="219" t="s">
        <v>21</v>
      </c>
      <c r="F6" s="219" t="s">
        <v>22</v>
      </c>
      <c r="G6" s="219" t="s">
        <v>123</v>
      </c>
      <c r="H6" s="219" t="s">
        <v>23</v>
      </c>
      <c r="I6" s="219" t="s">
        <v>24</v>
      </c>
      <c r="J6" s="219" t="s">
        <v>25</v>
      </c>
      <c r="K6" s="219" t="s">
        <v>2997</v>
      </c>
      <c r="L6" s="220" t="s">
        <v>2290</v>
      </c>
      <c r="M6" s="220" t="s">
        <v>2292</v>
      </c>
      <c r="N6" s="228" t="s">
        <v>2467</v>
      </c>
      <c r="O6" s="229" t="s">
        <v>3063</v>
      </c>
      <c r="P6" s="229" t="s">
        <v>3064</v>
      </c>
      <c r="Q6" s="229" t="s">
        <v>3138</v>
      </c>
      <c r="R6" s="229" t="s">
        <v>3139</v>
      </c>
      <c r="S6" s="229" t="s">
        <v>3140</v>
      </c>
      <c r="T6" s="229" t="s">
        <v>3141</v>
      </c>
      <c r="U6" s="217" t="s">
        <v>2819</v>
      </c>
      <c r="V6" s="217" t="s">
        <v>3070</v>
      </c>
      <c r="W6" s="217" t="s">
        <v>2820</v>
      </c>
      <c r="X6" s="217" t="s">
        <v>3072</v>
      </c>
      <c r="Y6" s="217" t="s">
        <v>2821</v>
      </c>
      <c r="Z6" s="217" t="s">
        <v>3075</v>
      </c>
      <c r="AA6" s="217" t="s">
        <v>3076</v>
      </c>
      <c r="AB6" s="217" t="s">
        <v>2832</v>
      </c>
      <c r="AC6" s="536" t="s">
        <v>2822</v>
      </c>
      <c r="AD6" s="536" t="s">
        <v>2823</v>
      </c>
      <c r="AE6" s="536" t="s">
        <v>2824</v>
      </c>
      <c r="AF6" s="536" t="s">
        <v>3078</v>
      </c>
      <c r="AG6" s="536" t="s">
        <v>2825</v>
      </c>
      <c r="AH6" s="536" t="s">
        <v>2826</v>
      </c>
      <c r="AI6" s="536" t="s">
        <v>3080</v>
      </c>
      <c r="AJ6" s="536" t="s">
        <v>2827</v>
      </c>
      <c r="AK6" s="536" t="s">
        <v>2828</v>
      </c>
      <c r="AL6" s="536" t="s">
        <v>2829</v>
      </c>
      <c r="AM6" s="536" t="s">
        <v>2977</v>
      </c>
      <c r="AN6" s="536" t="s">
        <v>2830</v>
      </c>
      <c r="AO6" s="537" t="s">
        <v>2831</v>
      </c>
      <c r="AP6" s="538" t="s">
        <v>2835</v>
      </c>
      <c r="AQ6" s="538" t="s">
        <v>2836</v>
      </c>
      <c r="AR6" s="538" t="s">
        <v>2837</v>
      </c>
      <c r="AS6" s="538" t="s">
        <v>2838</v>
      </c>
      <c r="AT6" s="538" t="s">
        <v>2839</v>
      </c>
      <c r="AU6" s="538" t="s">
        <v>2840</v>
      </c>
      <c r="AV6" s="538" t="s">
        <v>2834</v>
      </c>
      <c r="AW6" s="538" t="s">
        <v>2833</v>
      </c>
      <c r="AX6" s="744" t="s">
        <v>3083</v>
      </c>
      <c r="AY6" s="538" t="s">
        <v>2871</v>
      </c>
      <c r="AZ6" s="539" t="s">
        <v>2843</v>
      </c>
      <c r="BA6" s="539" t="s">
        <v>2841</v>
      </c>
      <c r="BB6" s="750" t="s">
        <v>2957</v>
      </c>
      <c r="BC6" s="539" t="s">
        <v>2844</v>
      </c>
      <c r="BD6" s="540" t="s">
        <v>2842</v>
      </c>
      <c r="BE6" s="803" t="s">
        <v>2978</v>
      </c>
      <c r="BF6" s="803" t="s">
        <v>2979</v>
      </c>
      <c r="BG6" s="804" t="s">
        <v>2976</v>
      </c>
      <c r="BH6" s="858" t="s">
        <v>3152</v>
      </c>
      <c r="BI6" s="858" t="s">
        <v>3153</v>
      </c>
      <c r="BJ6" s="858" t="s">
        <v>3154</v>
      </c>
      <c r="BK6" s="858" t="s">
        <v>3155</v>
      </c>
      <c r="BL6" s="310" t="s">
        <v>3121</v>
      </c>
      <c r="BM6" s="310" t="s">
        <v>3122</v>
      </c>
      <c r="BN6" s="311" t="s">
        <v>2468</v>
      </c>
      <c r="BO6" s="313" t="s">
        <v>2875</v>
      </c>
      <c r="BP6" s="337" t="s">
        <v>74</v>
      </c>
      <c r="BQ6" s="315" t="s">
        <v>1612</v>
      </c>
      <c r="BR6" s="309" t="s">
        <v>1913</v>
      </c>
      <c r="BS6" s="311" t="s">
        <v>2469</v>
      </c>
      <c r="BT6" s="574" t="s">
        <v>117</v>
      </c>
      <c r="BU6" s="575" t="s">
        <v>1613</v>
      </c>
      <c r="BV6" s="338" t="s">
        <v>2895</v>
      </c>
      <c r="BW6" s="338" t="s">
        <v>2473</v>
      </c>
      <c r="BX6" s="338" t="s">
        <v>2994</v>
      </c>
      <c r="BY6" s="749" t="s">
        <v>2982</v>
      </c>
      <c r="BZ6" s="749" t="s">
        <v>3170</v>
      </c>
      <c r="CA6" s="316" t="s">
        <v>119</v>
      </c>
      <c r="CB6" s="319" t="s">
        <v>118</v>
      </c>
      <c r="CC6" s="320" t="s">
        <v>1914</v>
      </c>
      <c r="CD6" s="318" t="s">
        <v>1888</v>
      </c>
      <c r="CE6" s="325" t="s">
        <v>1889</v>
      </c>
      <c r="CF6" s="326" t="s">
        <v>1899</v>
      </c>
      <c r="CG6" s="326" t="s">
        <v>1900</v>
      </c>
      <c r="CH6" s="325" t="s">
        <v>1901</v>
      </c>
      <c r="CI6" s="339" t="s">
        <v>2475</v>
      </c>
      <c r="CJ6" s="330" t="s">
        <v>1614</v>
      </c>
      <c r="CK6" s="336" t="s">
        <v>1615</v>
      </c>
      <c r="CL6" s="333" t="s">
        <v>1616</v>
      </c>
      <c r="CM6" s="326" t="s">
        <v>1617</v>
      </c>
      <c r="CN6" s="392" t="s">
        <v>2687</v>
      </c>
      <c r="CO6" s="690" t="s">
        <v>3084</v>
      </c>
      <c r="CP6" s="723" t="s">
        <v>2984</v>
      </c>
      <c r="CQ6" s="723" t="s">
        <v>2983</v>
      </c>
      <c r="CR6" s="723" t="s">
        <v>3171</v>
      </c>
      <c r="CS6" s="230" t="s">
        <v>27</v>
      </c>
      <c r="CT6" s="230" t="s">
        <v>28</v>
      </c>
      <c r="CU6" s="230" t="s">
        <v>124</v>
      </c>
      <c r="CV6" s="230" t="s">
        <v>29</v>
      </c>
      <c r="CW6" s="230" t="s">
        <v>30</v>
      </c>
      <c r="CX6" s="230" t="s">
        <v>31</v>
      </c>
      <c r="CY6" s="230" t="s">
        <v>32</v>
      </c>
      <c r="CZ6" s="230" t="s">
        <v>33</v>
      </c>
      <c r="DA6" s="231" t="s">
        <v>34</v>
      </c>
      <c r="DB6" s="593" t="s">
        <v>2909</v>
      </c>
      <c r="DC6" s="593" t="s">
        <v>2910</v>
      </c>
      <c r="DD6" s="593" t="s">
        <v>2911</v>
      </c>
      <c r="DE6" s="232" t="s">
        <v>35</v>
      </c>
      <c r="DF6" s="540" t="s">
        <v>2947</v>
      </c>
      <c r="DG6" s="540" t="s">
        <v>2948</v>
      </c>
      <c r="DH6" s="540" t="s">
        <v>2951</v>
      </c>
      <c r="DI6" s="802" t="s">
        <v>3005</v>
      </c>
      <c r="DJ6" s="802" t="s">
        <v>3006</v>
      </c>
    </row>
    <row r="7" spans="1:114">
      <c r="A7" s="830" t="s">
        <v>3156</v>
      </c>
      <c r="B7" s="862" t="s">
        <v>2270</v>
      </c>
      <c r="C7" s="863" t="s">
        <v>2270</v>
      </c>
      <c r="D7" s="863" t="s">
        <v>40</v>
      </c>
      <c r="E7" s="863" t="s">
        <v>293</v>
      </c>
      <c r="F7" s="863" t="s">
        <v>294</v>
      </c>
      <c r="G7" s="864" t="s">
        <v>43</v>
      </c>
      <c r="H7" s="863" t="s">
        <v>413</v>
      </c>
      <c r="I7" s="865">
        <v>382</v>
      </c>
      <c r="J7" s="865">
        <v>2139</v>
      </c>
      <c r="K7" s="687">
        <f>WWWW[[#This Row],[Total PoP ]]/WWWW[[#This Row],[Total HH]]</f>
        <v>5.5994764397905756</v>
      </c>
      <c r="L7" s="866">
        <v>44652</v>
      </c>
      <c r="M7" s="867">
        <v>44742</v>
      </c>
      <c r="N7" s="865"/>
      <c r="O7" s="503">
        <v>21</v>
      </c>
      <c r="P7" s="865">
        <v>23</v>
      </c>
      <c r="Q7" s="503"/>
      <c r="R7" s="503"/>
      <c r="S7" s="865"/>
      <c r="T7" s="865"/>
      <c r="U7" s="865"/>
      <c r="V7" s="868"/>
      <c r="W7" s="865"/>
      <c r="X7" s="868"/>
      <c r="Y7" s="865"/>
      <c r="Z7" s="503"/>
      <c r="AA7" s="503"/>
      <c r="AB7" s="869"/>
      <c r="AC7" s="865">
        <v>113</v>
      </c>
      <c r="AD7" s="865">
        <v>120</v>
      </c>
      <c r="AE7" s="865">
        <v>101</v>
      </c>
      <c r="AF7" s="865">
        <v>70</v>
      </c>
      <c r="AG7" s="868">
        <v>1</v>
      </c>
      <c r="AH7" s="868">
        <v>0.91</v>
      </c>
      <c r="AI7" s="868">
        <v>0.55000000000000004</v>
      </c>
      <c r="AJ7" s="865">
        <v>12</v>
      </c>
      <c r="AK7" s="865">
        <v>37</v>
      </c>
      <c r="AL7" s="865">
        <v>4</v>
      </c>
      <c r="AM7" s="503"/>
      <c r="AN7" s="865" t="s">
        <v>41</v>
      </c>
      <c r="AO7" s="870"/>
      <c r="AP7" s="865">
        <v>8</v>
      </c>
      <c r="AQ7" s="865">
        <v>27</v>
      </c>
      <c r="AR7" s="865">
        <v>9</v>
      </c>
      <c r="AS7" s="865">
        <v>89</v>
      </c>
      <c r="AT7" s="865">
        <v>382</v>
      </c>
      <c r="AU7" s="865">
        <v>764</v>
      </c>
      <c r="AV7" s="453">
        <v>1</v>
      </c>
      <c r="AW7" s="868">
        <v>1</v>
      </c>
      <c r="AX7" s="454">
        <v>8</v>
      </c>
      <c r="AY7" s="871"/>
      <c r="AZ7" s="453">
        <v>1</v>
      </c>
      <c r="BA7" s="453">
        <v>1</v>
      </c>
      <c r="BB7" s="453">
        <v>1</v>
      </c>
      <c r="BC7" s="453">
        <v>0.88</v>
      </c>
      <c r="BD7" s="453"/>
      <c r="BE7" s="503">
        <v>120</v>
      </c>
      <c r="BF7" s="503"/>
      <c r="BG7" s="503"/>
      <c r="BH7" s="503"/>
      <c r="BI7" s="503"/>
      <c r="BJ7" s="503"/>
      <c r="BK7" s="503"/>
      <c r="BL7" s="872" t="str">
        <f>IF(WWWW[[#This Row],['#_Water samples_Tested_at_water_source]]="","no test","Tested")</f>
        <v>no test</v>
      </c>
      <c r="BM7" s="872" t="str">
        <f>IF(WWWW[[#This Row],['#_Water samples_Tested_at_HH]]="","no test","Tested")</f>
        <v>no test</v>
      </c>
      <c r="BN7" s="873" t="str">
        <f>IF(AND(WWWW[[#This Row],[Water_testing_at source]]="no test",WWWW[[#This Row],[Water_testing_at HH]]="no test"),"No Test","Tested")</f>
        <v>No Test</v>
      </c>
      <c r="BO7"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7" s="874">
        <f>WWWW[[#This Row],[% HRP1]]*WWWW[[#This Row],[Total PoP ]]</f>
        <v>2139</v>
      </c>
      <c r="BQ7" s="875">
        <f>WWWW[[#This Row],[HRP1]]/500</f>
        <v>4.2779999999999996</v>
      </c>
      <c r="BR7" s="876">
        <f>1-WWWW[[#This Row],[% HRP1]]</f>
        <v>0</v>
      </c>
      <c r="BS7" s="875">
        <f>WWWW[[#This Row],[%equitable and continuous access to sufficient quantity of safe drinking and domestic water''s GAP]]*WWWW[[#This Row],[Total PoP ]]</f>
        <v>0</v>
      </c>
      <c r="BT7" s="454">
        <f>ROUND(IF(WWWW[[#This Row],[Total PoP ]]&lt;500,1,WWWW[[#This Row],[Total PoP ]]/500),0)</f>
        <v>4</v>
      </c>
      <c r="BU7" s="873">
        <f>IF(WWWW[[#This Row],[Total required water points]]-WWWW[[#This Row],['#Water points coverage]]&lt;0,0,WWWW[[#This Row],[Total required water points]]-WWWW[[#This Row],['#Water points coverage]])</f>
        <v>0</v>
      </c>
      <c r="BV7" s="455">
        <f>WWWW[[#This Row],[HRP2]]/WWWW[[#This Row],[Total PoP ]]</f>
        <v>1</v>
      </c>
      <c r="BW7"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BX7" s="458">
        <f>IF(WWWW[[#This Row],['#_Functional_adult_latrines]]="","",WWWW[[#This Row],[Total PoP ]]/WWWW[[#This Row],['#_Functional_adult_latrines]])</f>
        <v>18.929203539823011</v>
      </c>
      <c r="BY7" s="873">
        <f>WWWW[[#This Row],['#_of_latrines_in_TLS/CFS]]*50</f>
        <v>200</v>
      </c>
      <c r="BZ7" s="454">
        <f>IF(WWWW[[#This Row],['#_of_latrines_in_THF]]="",0,WWWW[[#This Row],['#_of_latrines_in_THF]]*50)</f>
        <v>0</v>
      </c>
      <c r="CA7" s="873">
        <f>ROUND(IF(WWWW[[#This Row],[Location Type 1]]="camp",WWWW[[#This Row],[Total PoP ]]/20),0)</f>
        <v>107</v>
      </c>
      <c r="CB7" s="873">
        <f>IF(WWWW[[#This Row],[Total required Latrines]]-WWWW[[#This Row],['#_Existing_latrines]]&lt;0,0,WWWW[[#This Row],[Total required Latrines]]-WWWW[[#This Row],['#_Existing_latrines]])</f>
        <v>0</v>
      </c>
      <c r="CC7" s="876">
        <f>1-WWWW[[#This Row],[% HRP2]]</f>
        <v>0</v>
      </c>
      <c r="CD7" s="872">
        <f>IF(WWWW[[#This Row],['#_Existing_latrines]]="","NA",(WWWW[[#This Row],['#_Existing_latrines]]-WWWW[[#This Row],['#_Functional_adult_latrines]])/WWWW[[#This Row],['#_Existing_latrines]])</f>
        <v>5.8333333333333334E-2</v>
      </c>
      <c r="CE7"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v>
      </c>
      <c r="CF7"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2139</v>
      </c>
      <c r="CG7" s="873">
        <f>IF(WWWW[[#This Row],['#_of_affected_women_and_girls_receiving_a_sufficient_quantity_of_sanitary_pads]]&gt;WWWW[[#This Row],[Total PoP ]],WWWW[[#This Row],[Total PoP ]],WWWW[[#This Row],['#_of_affected_women_and_girls_receiving_a_sufficient_quantity_of_sanitary_pads]])</f>
        <v>764</v>
      </c>
      <c r="CH7" s="873">
        <f>IF(WWWW[[#This Row],['# People with access to soap]]&gt;WWWW[[#This Row],['# People with access to Sanity Pads]],WWWW[[#This Row],['# People with access to soap]],WWWW[[#This Row],['# People with access to Sanity Pads]])</f>
        <v>2139</v>
      </c>
      <c r="CI7" s="873">
        <f>IF(WWWW[[#This Row],['# people reached by regular dedicated hygiene promotion_5]]&gt;WWWW[[#This Row],['# People received regular supply of hygiene items_6]],WWWW[[#This Row],['# people reached by regular dedicated hygiene promotion_5]],WWWW[[#This Row],['# People received regular supply of hygiene items_6]])</f>
        <v>2139</v>
      </c>
      <c r="CJ7" s="876">
        <f>IF(WWWW[[#This Row],[HRP3]]/WWWW[[#This Row],[Total PoP ]]&gt;100%,100%,WWWW[[#This Row],[HRP3]]/WWWW[[#This Row],[Total PoP ]])</f>
        <v>1</v>
      </c>
      <c r="CK7" s="872">
        <f>1-WWWW[[#This Row],[Hygiene Coverage%]]</f>
        <v>0</v>
      </c>
      <c r="CL7" s="868">
        <f>WWWW[[#This Row],['# people reached by regular dedicated hygiene promotion_5]]/WWWW[[#This Row],[Total PoP ]]</f>
        <v>6.2178588125292193E-2</v>
      </c>
      <c r="CM7" s="872">
        <f>IF(WWWW[[#This Row],['#_of_affected_households_receiving_a_sufficient_quantity_of_soap]]/WWWW[[#This Row],[Total HH]]&gt;1,1,WWWW[[#This Row],['#_of_affected_households_receiving_a_sufficient_quantity_of_soap]]/WWWW[[#This Row],[Total HH]])</f>
        <v>1</v>
      </c>
      <c r="CN7" s="458" t="str">
        <f>IF(WWWW[[#This Row],['#_students at TLS_CFS]]="","No","Yes")</f>
        <v>No</v>
      </c>
      <c r="CO7" s="455">
        <f>WWWW[[#This Row],[%_of_affected_people_surveyed_who_report_feeling_informed_about_the_different_WASH_services_available_to_them]]</f>
        <v>1</v>
      </c>
      <c r="CP7"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Q7" s="503">
        <f>IF(WWWW[[#This Row],['#_PPL_accessed_water_in_TLS]]&gt;WWWW[[#This Row],['# students access to functioning school latrines_HRP5]],WWWW[[#This Row],['#_PPL_accessed_water_in_TLS]],WWWW[[#This Row],['# students access to functioning school latrines_HRP5]])</f>
        <v>200</v>
      </c>
      <c r="CR7" s="503">
        <f>IF(WWWW[[#This Row],['#_PPL_accessed_water_in_THF]]&gt;WWWW[[#This Row],['# people access to functioning latrines in THF_HRP6]],WWWW[[#This Row],['#_PPL_accessed_water_in_THF]],WWWW[[#This Row],['# people access to functioning latrines in THF_HRP6]])</f>
        <v>0</v>
      </c>
      <c r="CS7" s="864" t="str">
        <f>VLOOKUP(WWWW[[#This Row],[Site Name]],SiteDB6[[Site Name]:[CCCM Management]],6,FALSE)</f>
        <v>Yes</v>
      </c>
      <c r="CT7" s="864">
        <f>VLOOKUP(WWWW[[#This Row],[Site Name]],SiteDB6[[Site Name]:[CCCM Focal Agency]],7,FALSE)</f>
        <v>0</v>
      </c>
      <c r="CU7" s="864" t="str">
        <f>VLOOKUP(WWWW[[#This Row],[Site Name]],SiteDB6[[Site Name]:[Location Type 1]],9,FALSE)</f>
        <v>Camp</v>
      </c>
      <c r="CV7" s="864" t="str">
        <f>VLOOKUP(WWWW[[#This Row],[Site Name]],SiteDB6[[Site Name]:[Type of Accommodation]],10,FALSE)</f>
        <v>Planned Camp</v>
      </c>
      <c r="CW7" s="864" t="str">
        <f>VLOOKUP(WWWW[[#This Row],[Site Name]],SiteDB6[[Site Name]:[Ethnic or GCA/NGCA]],11,FALSE)</f>
        <v>Muslim</v>
      </c>
      <c r="CX7" s="864">
        <f>VLOOKUP(WWWW[[#This Row],[Site Name]],SiteDB6[[Site Name]:[Lat]],12,FALSE)</f>
        <v>20.128488999999998</v>
      </c>
      <c r="CY7" s="864">
        <f>VLOOKUP(WWWW[[#This Row],[Site Name]],SiteDB6[[Site Name]:[Long]],13,FALSE)</f>
        <v>92.875814000000005</v>
      </c>
      <c r="CZ7" s="864" t="str">
        <f>VLOOKUP(WWWW[[#This Row],[Site Name]],SiteDB6[[Site Name]:[Pcode]],3,FALSE)</f>
        <v>MMR012CMP039</v>
      </c>
      <c r="DA7" s="877" t="str">
        <f t="shared" ref="DA7:DA27" si="0">IF(C7="none","Notcovered","Covered")</f>
        <v>Covered</v>
      </c>
      <c r="DB7" s="480"/>
      <c r="DC7" s="480"/>
      <c r="DD7" s="480">
        <f>WWWW[[#This Row],['# of Male_People with disabilities]]+WWWW[[#This Row],['# of Female_People with disabilities]]</f>
        <v>0</v>
      </c>
      <c r="DE7" s="864"/>
      <c r="DF7" s="877"/>
      <c r="DG7" s="877"/>
      <c r="DH7" s="877"/>
      <c r="DI7" s="877">
        <f>VLOOKUP(WWWW[[#This Row],[Site Name]],SiteDB6[[Site Name]:[Pop
(CCCM as of Autust 2021)]],16,FALSE)</f>
        <v>380</v>
      </c>
      <c r="DJ7" s="877">
        <f>VLOOKUP(WWWW[[#This Row],[Site Name]],SiteDB6[[Site Name]:[Pop
(CCCM as of Autust 2021)]],17,FALSE)</f>
        <v>2435</v>
      </c>
    </row>
    <row r="8" spans="1:114">
      <c r="A8" s="830" t="s">
        <v>3156</v>
      </c>
      <c r="B8" s="862" t="s">
        <v>2270</v>
      </c>
      <c r="C8" s="863" t="s">
        <v>2270</v>
      </c>
      <c r="D8" s="863" t="s">
        <v>40</v>
      </c>
      <c r="E8" s="863" t="s">
        <v>293</v>
      </c>
      <c r="F8" s="863" t="s">
        <v>294</v>
      </c>
      <c r="G8" s="864" t="s">
        <v>43</v>
      </c>
      <c r="H8" s="863" t="s">
        <v>424</v>
      </c>
      <c r="I8" s="865">
        <v>1012</v>
      </c>
      <c r="J8" s="865">
        <v>4875</v>
      </c>
      <c r="K8" s="687">
        <f>WWWW[[#This Row],[Total PoP ]]/WWWW[[#This Row],[Total HH]]</f>
        <v>4.8171936758893281</v>
      </c>
      <c r="L8" s="866">
        <v>44652</v>
      </c>
      <c r="M8" s="867">
        <v>44742</v>
      </c>
      <c r="N8" s="865"/>
      <c r="O8" s="503">
        <v>42</v>
      </c>
      <c r="P8" s="865">
        <v>50</v>
      </c>
      <c r="Q8" s="503"/>
      <c r="R8" s="503"/>
      <c r="S8" s="865"/>
      <c r="T8" s="865"/>
      <c r="U8" s="865"/>
      <c r="V8" s="868"/>
      <c r="W8" s="865"/>
      <c r="X8" s="868"/>
      <c r="Y8" s="865"/>
      <c r="Z8" s="503"/>
      <c r="AA8" s="503"/>
      <c r="AB8" s="869"/>
      <c r="AC8" s="865">
        <v>232</v>
      </c>
      <c r="AD8" s="865">
        <v>254</v>
      </c>
      <c r="AE8" s="865">
        <v>221</v>
      </c>
      <c r="AF8" s="865">
        <v>285</v>
      </c>
      <c r="AG8" s="868">
        <v>1</v>
      </c>
      <c r="AH8" s="868">
        <v>0.97</v>
      </c>
      <c r="AI8" s="868">
        <v>0.11</v>
      </c>
      <c r="AJ8" s="865">
        <v>12</v>
      </c>
      <c r="AK8" s="865">
        <v>183</v>
      </c>
      <c r="AL8" s="865">
        <v>11</v>
      </c>
      <c r="AM8" s="503"/>
      <c r="AN8" s="865" t="s">
        <v>41</v>
      </c>
      <c r="AO8" s="870"/>
      <c r="AP8" s="865">
        <v>37</v>
      </c>
      <c r="AQ8" s="865">
        <v>26</v>
      </c>
      <c r="AR8" s="865">
        <v>8</v>
      </c>
      <c r="AS8" s="865">
        <v>131</v>
      </c>
      <c r="AT8" s="865">
        <v>1012</v>
      </c>
      <c r="AU8" s="865">
        <v>2024</v>
      </c>
      <c r="AV8" s="453">
        <v>0.86</v>
      </c>
      <c r="AW8" s="868">
        <v>1</v>
      </c>
      <c r="AX8" s="454">
        <v>0</v>
      </c>
      <c r="AY8" s="871"/>
      <c r="AZ8" s="453">
        <v>0.94</v>
      </c>
      <c r="BA8" s="453">
        <v>0.87</v>
      </c>
      <c r="BB8" s="453">
        <v>0.9</v>
      </c>
      <c r="BC8" s="453">
        <v>0.86</v>
      </c>
      <c r="BD8" s="453"/>
      <c r="BE8" s="503">
        <v>254</v>
      </c>
      <c r="BF8" s="503"/>
      <c r="BG8" s="503"/>
      <c r="BH8" s="503"/>
      <c r="BI8" s="503"/>
      <c r="BJ8" s="503"/>
      <c r="BK8" s="503"/>
      <c r="BL8" s="872" t="str">
        <f>IF(WWWW[[#This Row],['#_Water samples_Tested_at_water_source]]="","no test","Tested")</f>
        <v>no test</v>
      </c>
      <c r="BM8" s="872" t="str">
        <f>IF(WWWW[[#This Row],['#_Water samples_Tested_at_HH]]="","no test","Tested")</f>
        <v>no test</v>
      </c>
      <c r="BN8" s="873" t="str">
        <f>IF(AND(WWWW[[#This Row],[Water_testing_at source]]="no test",WWWW[[#This Row],[Water_testing_at HH]]="no test"),"No Test","Tested")</f>
        <v>No Test</v>
      </c>
      <c r="BO8"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8" s="874">
        <f>WWWW[[#This Row],[% HRP1]]*WWWW[[#This Row],[Total PoP ]]</f>
        <v>4875</v>
      </c>
      <c r="BQ8" s="875">
        <f>WWWW[[#This Row],[HRP1]]/500</f>
        <v>9.75</v>
      </c>
      <c r="BR8" s="876">
        <f>1-WWWW[[#This Row],[% HRP1]]</f>
        <v>0</v>
      </c>
      <c r="BS8" s="875">
        <f>WWWW[[#This Row],[%equitable and continuous access to sufficient quantity of safe drinking and domestic water''s GAP]]*WWWW[[#This Row],[Total PoP ]]</f>
        <v>0</v>
      </c>
      <c r="BT8" s="454">
        <f>ROUND(IF(WWWW[[#This Row],[Total PoP ]]&lt;500,1,WWWW[[#This Row],[Total PoP ]]/500),0)</f>
        <v>10</v>
      </c>
      <c r="BU8" s="873">
        <f>IF(WWWW[[#This Row],[Total required water points]]-WWWW[[#This Row],['#Water points coverage]]&lt;0,0,WWWW[[#This Row],[Total required water points]]-WWWW[[#This Row],['#Water points coverage]])</f>
        <v>0.25</v>
      </c>
      <c r="BV8" s="455">
        <f>WWWW[[#This Row],[HRP2]]/WWWW[[#This Row],[Total PoP ]]</f>
        <v>1</v>
      </c>
      <c r="BW8"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4875</v>
      </c>
      <c r="BX8" s="458">
        <f>IF(WWWW[[#This Row],['#_Functional_adult_latrines]]="","",WWWW[[#This Row],[Total PoP ]]/WWWW[[#This Row],['#_Functional_adult_latrines]])</f>
        <v>21.012931034482758</v>
      </c>
      <c r="BY8" s="873">
        <f>WWWW[[#This Row],['#_of_latrines_in_TLS/CFS]]*50</f>
        <v>550</v>
      </c>
      <c r="BZ8" s="454">
        <f>IF(WWWW[[#This Row],['#_of_latrines_in_THF]]="",0,WWWW[[#This Row],['#_of_latrines_in_THF]]*50)</f>
        <v>0</v>
      </c>
      <c r="CA8" s="873">
        <f>ROUND(IF(WWWW[[#This Row],[Location Type 1]]="camp",WWWW[[#This Row],[Total PoP ]]/20),0)</f>
        <v>244</v>
      </c>
      <c r="CB8" s="873">
        <f>IF(WWWW[[#This Row],[Total required Latrines]]-WWWW[[#This Row],['#_Existing_latrines]]&lt;0,0,WWWW[[#This Row],[Total required Latrines]]-WWWW[[#This Row],['#_Existing_latrines]])</f>
        <v>0</v>
      </c>
      <c r="CC8" s="876">
        <f>1-WWWW[[#This Row],[% HRP2]]</f>
        <v>0</v>
      </c>
      <c r="CD8" s="872">
        <f>IF(WWWW[[#This Row],['#_Existing_latrines]]="","NA",(WWWW[[#This Row],['#_Existing_latrines]]-WWWW[[#This Row],['#_Functional_adult_latrines]])/WWWW[[#This Row],['#_Existing_latrines]])</f>
        <v>8.6614173228346455E-2</v>
      </c>
      <c r="CE8"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202</v>
      </c>
      <c r="CF8"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4875</v>
      </c>
      <c r="CG8" s="873">
        <f>IF(WWWW[[#This Row],['#_of_affected_women_and_girls_receiving_a_sufficient_quantity_of_sanitary_pads]]&gt;WWWW[[#This Row],[Total PoP ]],WWWW[[#This Row],[Total PoP ]],WWWW[[#This Row],['#_of_affected_women_and_girls_receiving_a_sufficient_quantity_of_sanitary_pads]])</f>
        <v>2024</v>
      </c>
      <c r="CH8" s="873">
        <f>IF(WWWW[[#This Row],['# People with access to soap]]&gt;WWWW[[#This Row],['# People with access to Sanity Pads]],WWWW[[#This Row],['# People with access to soap]],WWWW[[#This Row],['# People with access to Sanity Pads]])</f>
        <v>4875</v>
      </c>
      <c r="CI8" s="873">
        <f>IF(WWWW[[#This Row],['# people reached by regular dedicated hygiene promotion_5]]&gt;WWWW[[#This Row],['# People received regular supply of hygiene items_6]],WWWW[[#This Row],['# people reached by regular dedicated hygiene promotion_5]],WWWW[[#This Row],['# People received regular supply of hygiene items_6]])</f>
        <v>4875</v>
      </c>
      <c r="CJ8" s="876">
        <f>IF(WWWW[[#This Row],[HRP3]]/WWWW[[#This Row],[Total PoP ]]&gt;100%,100%,WWWW[[#This Row],[HRP3]]/WWWW[[#This Row],[Total PoP ]])</f>
        <v>1</v>
      </c>
      <c r="CK8" s="872">
        <f>1-WWWW[[#This Row],[Hygiene Coverage%]]</f>
        <v>0</v>
      </c>
      <c r="CL8" s="868">
        <f>WWWW[[#This Row],['# people reached by regular dedicated hygiene promotion_5]]/WWWW[[#This Row],[Total PoP ]]</f>
        <v>4.1435897435897436E-2</v>
      </c>
      <c r="CM8" s="872">
        <f>IF(WWWW[[#This Row],['#_of_affected_households_receiving_a_sufficient_quantity_of_soap]]/WWWW[[#This Row],[Total HH]]&gt;1,1,WWWW[[#This Row],['#_of_affected_households_receiving_a_sufficient_quantity_of_soap]]/WWWW[[#This Row],[Total HH]])</f>
        <v>1</v>
      </c>
      <c r="CN8" s="458" t="str">
        <f>IF(WWWW[[#This Row],['#_students at TLS_CFS]]="","No","Yes")</f>
        <v>No</v>
      </c>
      <c r="CO8" s="455">
        <f>WWWW[[#This Row],[%_of_affected_people_surveyed_who_report_feeling_informed_about_the_different_WASH_services_available_to_them]]</f>
        <v>0.9</v>
      </c>
      <c r="CP8"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Q8" s="503">
        <f>IF(WWWW[[#This Row],['#_PPL_accessed_water_in_TLS]]&gt;WWWW[[#This Row],['# students access to functioning school latrines_HRP5]],WWWW[[#This Row],['#_PPL_accessed_water_in_TLS]],WWWW[[#This Row],['# students access to functioning school latrines_HRP5]])</f>
        <v>550</v>
      </c>
      <c r="CR8" s="503">
        <f>IF(WWWW[[#This Row],['#_PPL_accessed_water_in_THF]]&gt;WWWW[[#This Row],['# people access to functioning latrines in THF_HRP6]],WWWW[[#This Row],['#_PPL_accessed_water_in_THF]],WWWW[[#This Row],['# people access to functioning latrines in THF_HRP6]])</f>
        <v>0</v>
      </c>
      <c r="CS8" s="864" t="str">
        <f>VLOOKUP(WWWW[[#This Row],[Site Name]],SiteDB6[[Site Name]:[CCCM Management]],6,FALSE)</f>
        <v>Yes</v>
      </c>
      <c r="CT8" s="864">
        <f>VLOOKUP(WWWW[[#This Row],[Site Name]],SiteDB6[[Site Name]:[CCCM Focal Agency]],7,FALSE)</f>
        <v>0</v>
      </c>
      <c r="CU8" s="864" t="str">
        <f>VLOOKUP(WWWW[[#This Row],[Site Name]],SiteDB6[[Site Name]:[Location Type 1]],9,FALSE)</f>
        <v>Camp</v>
      </c>
      <c r="CV8" s="864" t="str">
        <f>VLOOKUP(WWWW[[#This Row],[Site Name]],SiteDB6[[Site Name]:[Type of Accommodation]],10,FALSE)</f>
        <v>Planned Camp</v>
      </c>
      <c r="CW8" s="864" t="str">
        <f>VLOOKUP(WWWW[[#This Row],[Site Name]],SiteDB6[[Site Name]:[Ethnic or GCA/NGCA]],11,FALSE)</f>
        <v>Muslim</v>
      </c>
      <c r="CX8" s="864">
        <f>VLOOKUP(WWWW[[#This Row],[Site Name]],SiteDB6[[Site Name]:[Lat]],12,FALSE)</f>
        <v>20.179417000000001</v>
      </c>
      <c r="CY8" s="864">
        <f>VLOOKUP(WWWW[[#This Row],[Site Name]],SiteDB6[[Site Name]:[Long]],13,FALSE)</f>
        <v>92.813028000000003</v>
      </c>
      <c r="CZ8" s="864" t="str">
        <f>VLOOKUP(WWWW[[#This Row],[Site Name]],SiteDB6[[Site Name]:[Pcode]],3,FALSE)</f>
        <v>MMR012CMP113</v>
      </c>
      <c r="DA8" s="877" t="str">
        <f t="shared" si="0"/>
        <v>Covered</v>
      </c>
      <c r="DB8" s="480"/>
      <c r="DC8" s="480"/>
      <c r="DD8" s="480">
        <f>WWWW[[#This Row],['# of Male_People with disabilities]]+WWWW[[#This Row],['# of Female_People with disabilities]]</f>
        <v>0</v>
      </c>
      <c r="DE8" s="864"/>
      <c r="DF8" s="877"/>
      <c r="DG8" s="877"/>
      <c r="DH8" s="877"/>
      <c r="DI8" s="877">
        <f>VLOOKUP(WWWW[[#This Row],[Site Name]],SiteDB6[[Site Name]:[Pop
(CCCM as of Autust 2021)]],16,FALSE)</f>
        <v>1012</v>
      </c>
      <c r="DJ8" s="877">
        <f>VLOOKUP(WWWW[[#This Row],[Site Name]],SiteDB6[[Site Name]:[Pop
(CCCM as of Autust 2021)]],17,FALSE)</f>
        <v>5066</v>
      </c>
    </row>
    <row r="9" spans="1:114">
      <c r="A9" s="830" t="s">
        <v>3156</v>
      </c>
      <c r="B9" s="830" t="s">
        <v>2269</v>
      </c>
      <c r="C9" s="831" t="s">
        <v>2269</v>
      </c>
      <c r="D9" s="831" t="s">
        <v>40</v>
      </c>
      <c r="E9" s="831" t="s">
        <v>293</v>
      </c>
      <c r="F9" s="831" t="s">
        <v>294</v>
      </c>
      <c r="G9" s="810" t="s">
        <v>43</v>
      </c>
      <c r="H9" s="831" t="s">
        <v>2271</v>
      </c>
      <c r="I9" s="833">
        <v>400</v>
      </c>
      <c r="J9" s="833">
        <v>2248</v>
      </c>
      <c r="K9" s="687">
        <f>WWWW[[#This Row],[Total PoP ]]/WWWW[[#This Row],[Total HH]]</f>
        <v>5.62</v>
      </c>
      <c r="L9" s="834">
        <v>44197</v>
      </c>
      <c r="M9" s="835">
        <v>44592</v>
      </c>
      <c r="N9" s="833"/>
      <c r="O9" s="503">
        <v>47</v>
      </c>
      <c r="P9" s="833">
        <v>53</v>
      </c>
      <c r="Q9" s="503"/>
      <c r="R9" s="503"/>
      <c r="S9" s="833"/>
      <c r="T9" s="833"/>
      <c r="U9" s="503"/>
      <c r="V9" s="453"/>
      <c r="W9" s="833"/>
      <c r="X9" s="836"/>
      <c r="Y9" s="833"/>
      <c r="Z9" s="503"/>
      <c r="AA9" s="503"/>
      <c r="AB9" s="837"/>
      <c r="AC9" s="833">
        <v>100</v>
      </c>
      <c r="AD9" s="833">
        <v>116</v>
      </c>
      <c r="AE9" s="833"/>
      <c r="AF9" s="833"/>
      <c r="AG9" s="836"/>
      <c r="AH9" s="836"/>
      <c r="AI9" s="836"/>
      <c r="AJ9" s="833">
        <v>12</v>
      </c>
      <c r="AK9" s="833">
        <v>29</v>
      </c>
      <c r="AL9" s="833">
        <v>4</v>
      </c>
      <c r="AM9" s="503"/>
      <c r="AN9" s="833" t="s">
        <v>41</v>
      </c>
      <c r="AO9" s="838"/>
      <c r="AP9" s="833"/>
      <c r="AQ9" s="833"/>
      <c r="AR9" s="833"/>
      <c r="AS9" s="833"/>
      <c r="AT9" s="833"/>
      <c r="AU9" s="833"/>
      <c r="AV9" s="453"/>
      <c r="AW9" s="836"/>
      <c r="AX9" s="454">
        <v>5</v>
      </c>
      <c r="AY9" s="846"/>
      <c r="AZ9" s="453"/>
      <c r="BA9" s="453"/>
      <c r="BB9" s="453"/>
      <c r="BC9" s="453"/>
      <c r="BD9" s="453"/>
      <c r="BE9" s="503"/>
      <c r="BF9" s="503"/>
      <c r="BG9" s="503"/>
      <c r="BH9" s="857"/>
      <c r="BI9" s="857"/>
      <c r="BJ9" s="854"/>
      <c r="BK9" s="503"/>
      <c r="BL9" s="840" t="str">
        <f>IF(WWWW[[#This Row],['#_Water samples_Tested_at_water_source]]="","no test","Tested")</f>
        <v>no test</v>
      </c>
      <c r="BM9" s="840" t="str">
        <f>IF(WWWW[[#This Row],['#_Water samples_Tested_at_HH]]="","no test","Tested")</f>
        <v>no test</v>
      </c>
      <c r="BN9" s="841" t="str">
        <f>IF(AND(WWWW[[#This Row],[Water_testing_at source]]="no test",WWWW[[#This Row],[Water_testing_at HH]]="no test"),"No Test","Tested")</f>
        <v>No Test</v>
      </c>
      <c r="BO9"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9" s="842">
        <f>WWWW[[#This Row],[% HRP1]]*WWWW[[#This Row],[Total PoP ]]</f>
        <v>2248</v>
      </c>
      <c r="BQ9" s="843">
        <f>WWWW[[#This Row],[HRP1]]/500</f>
        <v>4.4960000000000004</v>
      </c>
      <c r="BR9" s="844">
        <f>1-WWWW[[#This Row],[% HRP1]]</f>
        <v>0</v>
      </c>
      <c r="BS9" s="843">
        <f>WWWW[[#This Row],[%equitable and continuous access to sufficient quantity of safe drinking and domestic water''s GAP]]*WWWW[[#This Row],[Total PoP ]]</f>
        <v>0</v>
      </c>
      <c r="BT9" s="454">
        <f>ROUND(IF(WWWW[[#This Row],[Total PoP ]]&lt;500,1,WWWW[[#This Row],[Total PoP ]]/500),0)</f>
        <v>4</v>
      </c>
      <c r="BU9" s="841">
        <f>IF(WWWW[[#This Row],[Total required water points]]-WWWW[[#This Row],['#Water points coverage]]&lt;0,0,WWWW[[#This Row],[Total required water points]]-WWWW[[#This Row],['#Water points coverage]])</f>
        <v>0</v>
      </c>
      <c r="BV9" s="455">
        <f>WWWW[[#This Row],[HRP2]]/WWWW[[#This Row],[Total PoP ]]</f>
        <v>1</v>
      </c>
      <c r="BW9"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BX9" s="458">
        <f>IF(WWWW[[#This Row],['#_Functional_adult_latrines]]="","",WWWW[[#This Row],[Total PoP ]]/WWWW[[#This Row],['#_Functional_adult_latrines]])</f>
        <v>22.48</v>
      </c>
      <c r="BY9" s="841">
        <f>WWWW[[#This Row],['#_of_latrines_in_TLS/CFS]]*50</f>
        <v>200</v>
      </c>
      <c r="BZ9" s="454">
        <f>IF(WWWW[[#This Row],['#_of_latrines_in_THF]]="",0,WWWW[[#This Row],['#_of_latrines_in_THF]]*50)</f>
        <v>0</v>
      </c>
      <c r="CA9" s="841">
        <f>ROUND(IF(WWWW[[#This Row],[Location Type 1]]="camp",WWWW[[#This Row],[Total PoP ]]/20),0)</f>
        <v>112</v>
      </c>
      <c r="CB9" s="841">
        <f>IF(WWWW[[#This Row],[Total required Latrines]]-WWWW[[#This Row],['#_Existing_latrines]]&lt;0,0,WWWW[[#This Row],[Total required Latrines]]-WWWW[[#This Row],['#_Existing_latrines]])</f>
        <v>0</v>
      </c>
      <c r="CC9" s="844">
        <f>1-WWWW[[#This Row],[% HRP2]]</f>
        <v>0</v>
      </c>
      <c r="CD9" s="840">
        <f>IF(WWWW[[#This Row],['#_Existing_latrines]]="","NA",(WWWW[[#This Row],['#_Existing_latrines]]-WWWW[[#This Row],['#_Functional_adult_latrines]])/WWWW[[#This Row],['#_Existing_latrines]])</f>
        <v>0.13793103448275862</v>
      </c>
      <c r="CE9"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9"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9" s="841">
        <f>IF(WWWW[[#This Row],['#_of_affected_women_and_girls_receiving_a_sufficient_quantity_of_sanitary_pads]]&gt;WWWW[[#This Row],[Total PoP ]],WWWW[[#This Row],[Total PoP ]],WWWW[[#This Row],['#_of_affected_women_and_girls_receiving_a_sufficient_quantity_of_sanitary_pads]])</f>
        <v>0</v>
      </c>
      <c r="CH9" s="841">
        <f>IF(WWWW[[#This Row],['# People with access to soap]]&gt;WWWW[[#This Row],['# People with access to Sanity Pads]],WWWW[[#This Row],['# People with access to soap]],WWWW[[#This Row],['# People with access to Sanity Pads]])</f>
        <v>0</v>
      </c>
      <c r="CI9"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9" s="844">
        <f>IF(WWWW[[#This Row],[HRP3]]/WWWW[[#This Row],[Total PoP ]]&gt;100%,100%,WWWW[[#This Row],[HRP3]]/WWWW[[#This Row],[Total PoP ]])</f>
        <v>0</v>
      </c>
      <c r="CK9" s="840">
        <f>1-WWWW[[#This Row],[Hygiene Coverage%]]</f>
        <v>1</v>
      </c>
      <c r="CL9" s="836">
        <f>WWWW[[#This Row],['# people reached by regular dedicated hygiene promotion_5]]/WWWW[[#This Row],[Total PoP ]]</f>
        <v>0</v>
      </c>
      <c r="CM9" s="840">
        <f>IF(WWWW[[#This Row],['#_of_affected_households_receiving_a_sufficient_quantity_of_soap]]/WWWW[[#This Row],[Total HH]]&gt;1,1,WWWW[[#This Row],['#_of_affected_households_receiving_a_sufficient_quantity_of_soap]]/WWWW[[#This Row],[Total HH]])</f>
        <v>0</v>
      </c>
      <c r="CN9" s="458" t="str">
        <f>IF(WWWW[[#This Row],['#_students at TLS_CFS]]="","No","Yes")</f>
        <v>No</v>
      </c>
      <c r="CO9" s="455">
        <f>WWWW[[#This Row],[%_of_affected_people_surveyed_who_report_feeling_informed_about_the_different_WASH_services_available_to_them]]</f>
        <v>0</v>
      </c>
      <c r="CP9"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9" s="503">
        <f>IF(WWWW[[#This Row],['#_PPL_accessed_water_in_TLS]]&gt;WWWW[[#This Row],['# students access to functioning school latrines_HRP5]],WWWW[[#This Row],['#_PPL_accessed_water_in_TLS]],WWWW[[#This Row],['# students access to functioning school latrines_HRP5]])</f>
        <v>200</v>
      </c>
      <c r="CR9" s="503">
        <f>IF(WWWW[[#This Row],['#_PPL_accessed_water_in_THF]]&gt;WWWW[[#This Row],['# people access to functioning latrines in THF_HRP6]],WWWW[[#This Row],['#_PPL_accessed_water_in_THF]],WWWW[[#This Row],['# people access to functioning latrines in THF_HRP6]])</f>
        <v>0</v>
      </c>
      <c r="CS9" s="832" t="str">
        <f>VLOOKUP(WWWW[[#This Row],[Site Name]],SiteDB6[[Site Name]:[CCCM Management]],6,FALSE)</f>
        <v>Yes</v>
      </c>
      <c r="CT9" s="832">
        <f>VLOOKUP(WWWW[[#This Row],[Site Name]],SiteDB6[[Site Name]:[CCCM Focal Agency]],7,FALSE)</f>
        <v>0</v>
      </c>
      <c r="CU9" s="832" t="str">
        <f>VLOOKUP(WWWW[[#This Row],[Site Name]],SiteDB6[[Site Name]:[Location Type 1]],9,FALSE)</f>
        <v>Camp</v>
      </c>
      <c r="CV9" s="832" t="str">
        <f>VLOOKUP(WWWW[[#This Row],[Site Name]],SiteDB6[[Site Name]:[Type of Accommodation]],10,FALSE)</f>
        <v>Planned Camp</v>
      </c>
      <c r="CW9" s="832" t="str">
        <f>VLOOKUP(WWWW[[#This Row],[Site Name]],SiteDB6[[Site Name]:[Ethnic or GCA/NGCA]],11,FALSE)</f>
        <v>Muslim</v>
      </c>
      <c r="CX9" s="832">
        <f>VLOOKUP(WWWW[[#This Row],[Site Name]],SiteDB6[[Site Name]:[Lat]],12,FALSE)</f>
        <v>20.181778000000001</v>
      </c>
      <c r="CY9" s="832">
        <f>VLOOKUP(WWWW[[#This Row],[Site Name]],SiteDB6[[Site Name]:[Long]],13,FALSE)</f>
        <v>92.823166999999998</v>
      </c>
      <c r="CZ9" s="832" t="str">
        <f>VLOOKUP(WWWW[[#This Row],[Site Name]],SiteDB6[[Site Name]:[Pcode]],3,FALSE)</f>
        <v>MMR012CMP042</v>
      </c>
      <c r="DA9" s="845" t="str">
        <f t="shared" si="0"/>
        <v>Covered</v>
      </c>
      <c r="DB9" s="480">
        <f>VLOOKUP(WWWW[[#This Row],[Site Name]],SiteDB6[[Site Name]:[PWD_Total]],22,FALSE)</f>
        <v>47</v>
      </c>
      <c r="DC9" s="480">
        <f>VLOOKUP(WWWW[[#This Row],[Site Name]],SiteDB6[[Site Name]:[PWD_Total]],23,FALSE)</f>
        <v>306</v>
      </c>
      <c r="DD9" s="480">
        <f>WWWW[[#This Row],['# of Male_People with disabilities]]+WWWW[[#This Row],['# of Female_People with disabilities]]</f>
        <v>353</v>
      </c>
      <c r="DE9" s="832"/>
      <c r="DF9" s="845"/>
      <c r="DG9" s="845"/>
      <c r="DH9" s="845"/>
      <c r="DI9" s="845">
        <f>VLOOKUP(WWWW[[#This Row],[Site Name]],SiteDB6[[Site Name]:[Pop
(CCCM as of Autust 2021)]],16,FALSE)</f>
        <v>392</v>
      </c>
      <c r="DJ9" s="845">
        <f>VLOOKUP(WWWW[[#This Row],[Site Name]],SiteDB6[[Site Name]:[Pop
(CCCM as of Autust 2021)]],17,FALSE)</f>
        <v>2455</v>
      </c>
    </row>
    <row r="10" spans="1:114">
      <c r="A10" s="830" t="s">
        <v>3156</v>
      </c>
      <c r="B10" s="830" t="s">
        <v>286</v>
      </c>
      <c r="C10" s="831" t="s">
        <v>286</v>
      </c>
      <c r="D10" s="831" t="s">
        <v>233</v>
      </c>
      <c r="E10" s="831" t="s">
        <v>293</v>
      </c>
      <c r="F10" s="831" t="s">
        <v>294</v>
      </c>
      <c r="G10" s="810" t="s">
        <v>43</v>
      </c>
      <c r="H10" s="831" t="s">
        <v>429</v>
      </c>
      <c r="I10" s="833">
        <v>2260</v>
      </c>
      <c r="J10" s="833">
        <v>11478</v>
      </c>
      <c r="K10" s="687">
        <f>WWWW[[#This Row],[Total PoP ]]/WWWW[[#This Row],[Total HH]]</f>
        <v>5.0787610619469028</v>
      </c>
      <c r="L10" s="834">
        <v>44348</v>
      </c>
      <c r="M10" s="835">
        <v>44712</v>
      </c>
      <c r="N10" s="833"/>
      <c r="O10" s="503">
        <v>199</v>
      </c>
      <c r="P10" s="503">
        <v>223</v>
      </c>
      <c r="Q10" s="503"/>
      <c r="R10" s="503"/>
      <c r="S10" s="833"/>
      <c r="T10" s="833"/>
      <c r="U10" s="833"/>
      <c r="V10" s="836"/>
      <c r="W10" s="503"/>
      <c r="X10" s="453"/>
      <c r="Y10" s="833"/>
      <c r="Z10" s="503"/>
      <c r="AA10" s="503"/>
      <c r="AB10" s="837"/>
      <c r="AC10" s="503">
        <v>828</v>
      </c>
      <c r="AD10" s="503">
        <v>828</v>
      </c>
      <c r="AE10" s="503"/>
      <c r="AF10" s="503"/>
      <c r="AG10" s="836"/>
      <c r="AH10" s="836"/>
      <c r="AI10" s="836"/>
      <c r="AJ10" s="833">
        <v>2</v>
      </c>
      <c r="AK10" s="833">
        <v>46</v>
      </c>
      <c r="AL10" s="833"/>
      <c r="AM10" s="503"/>
      <c r="AN10" s="833" t="s">
        <v>41</v>
      </c>
      <c r="AO10" s="838"/>
      <c r="AP10" s="833"/>
      <c r="AQ10" s="833"/>
      <c r="AR10" s="833"/>
      <c r="AS10" s="833"/>
      <c r="AT10" s="833"/>
      <c r="AU10" s="833"/>
      <c r="AV10" s="453"/>
      <c r="AW10" s="836"/>
      <c r="AX10" s="454"/>
      <c r="AY10" s="839"/>
      <c r="AZ10" s="453"/>
      <c r="BA10" s="453"/>
      <c r="BB10" s="453"/>
      <c r="BC10" s="453"/>
      <c r="BD10" s="453"/>
      <c r="BE10" s="503"/>
      <c r="BF10" s="503"/>
      <c r="BG10" s="503"/>
      <c r="BH10" s="857"/>
      <c r="BI10" s="857"/>
      <c r="BJ10" s="854"/>
      <c r="BK10" s="503"/>
      <c r="BL10" s="840" t="str">
        <f>IF(WWWW[[#This Row],['#_Water samples_Tested_at_water_source]]="","no test","Tested")</f>
        <v>no test</v>
      </c>
      <c r="BM10" s="840" t="str">
        <f>IF(WWWW[[#This Row],['#_Water samples_Tested_at_HH]]="","no test","Tested")</f>
        <v>no test</v>
      </c>
      <c r="BN10" s="841" t="str">
        <f>IF(AND(WWWW[[#This Row],[Water_testing_at source]]="no test",WWWW[[#This Row],[Water_testing_at HH]]="no test"),"No Test","Tested")</f>
        <v>No Test</v>
      </c>
      <c r="BO10"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0" s="842">
        <f>WWWW[[#This Row],[% HRP1]]*WWWW[[#This Row],[Total PoP ]]</f>
        <v>11478</v>
      </c>
      <c r="BQ10" s="843">
        <f>WWWW[[#This Row],[HRP1]]/500</f>
        <v>22.956</v>
      </c>
      <c r="BR10" s="844">
        <f>1-WWWW[[#This Row],[% HRP1]]</f>
        <v>0</v>
      </c>
      <c r="BS10" s="843">
        <f>WWWW[[#This Row],[%equitable and continuous access to sufficient quantity of safe drinking and domestic water''s GAP]]*WWWW[[#This Row],[Total PoP ]]</f>
        <v>0</v>
      </c>
      <c r="BT10" s="454">
        <f>ROUND(IF(WWWW[[#This Row],[Total PoP ]]&lt;500,1,WWWW[[#This Row],[Total PoP ]]/500),0)</f>
        <v>23</v>
      </c>
      <c r="BU10" s="841">
        <f>IF(WWWW[[#This Row],[Total required water points]]-WWWW[[#This Row],['#Water points coverage]]&lt;0,0,WWWW[[#This Row],[Total required water points]]-WWWW[[#This Row],['#Water points coverage]])</f>
        <v>4.4000000000000483E-2</v>
      </c>
      <c r="BV10" s="455">
        <f>WWWW[[#This Row],[HRP2]]/WWWW[[#This Row],[Total PoP ]]</f>
        <v>1</v>
      </c>
      <c r="BW10"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11478</v>
      </c>
      <c r="BX10" s="458">
        <f>IF(WWWW[[#This Row],['#_Functional_adult_latrines]]="","",WWWW[[#This Row],[Total PoP ]]/WWWW[[#This Row],['#_Functional_adult_latrines]])</f>
        <v>13.862318840579711</v>
      </c>
      <c r="BY10" s="841">
        <f>WWWW[[#This Row],['#_of_latrines_in_TLS/CFS]]*50</f>
        <v>0</v>
      </c>
      <c r="BZ10" s="454">
        <f>IF(WWWW[[#This Row],['#_of_latrines_in_THF]]="",0,WWWW[[#This Row],['#_of_latrines_in_THF]]*50)</f>
        <v>0</v>
      </c>
      <c r="CA10" s="841">
        <f>ROUND(IF(WWWW[[#This Row],[Location Type 1]]="camp",WWWW[[#This Row],[Total PoP ]]/20),0)</f>
        <v>574</v>
      </c>
      <c r="CB10" s="841">
        <f>IF(WWWW[[#This Row],[Total required Latrines]]-WWWW[[#This Row],['#_Existing_latrines]]&lt;0,0,WWWW[[#This Row],[Total required Latrines]]-WWWW[[#This Row],['#_Existing_latrines]])</f>
        <v>0</v>
      </c>
      <c r="CC10" s="844">
        <f>1-WWWW[[#This Row],[% HRP2]]</f>
        <v>0</v>
      </c>
      <c r="CD10" s="840">
        <f>IF(WWWW[[#This Row],['#_Existing_latrines]]="","NA",(WWWW[[#This Row],['#_Existing_latrines]]-WWWW[[#This Row],['#_Functional_adult_latrines]])/WWWW[[#This Row],['#_Existing_latrines]])</f>
        <v>0</v>
      </c>
      <c r="CE10"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0"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0" s="841">
        <f>IF(WWWW[[#This Row],['#_of_affected_women_and_girls_receiving_a_sufficient_quantity_of_sanitary_pads]]&gt;WWWW[[#This Row],[Total PoP ]],WWWW[[#This Row],[Total PoP ]],WWWW[[#This Row],['#_of_affected_women_and_girls_receiving_a_sufficient_quantity_of_sanitary_pads]])</f>
        <v>0</v>
      </c>
      <c r="CH10" s="841">
        <f>IF(WWWW[[#This Row],['# People with access to soap]]&gt;WWWW[[#This Row],['# People with access to Sanity Pads]],WWWW[[#This Row],['# People with access to soap]],WWWW[[#This Row],['# People with access to Sanity Pads]])</f>
        <v>0</v>
      </c>
      <c r="CI10"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0" s="844">
        <f>IF(WWWW[[#This Row],[HRP3]]/WWWW[[#This Row],[Total PoP ]]&gt;100%,100%,WWWW[[#This Row],[HRP3]]/WWWW[[#This Row],[Total PoP ]])</f>
        <v>0</v>
      </c>
      <c r="CK10" s="840">
        <f>1-WWWW[[#This Row],[Hygiene Coverage%]]</f>
        <v>1</v>
      </c>
      <c r="CL10" s="836">
        <f>WWWW[[#This Row],['# people reached by regular dedicated hygiene promotion_5]]/WWWW[[#This Row],[Total PoP ]]</f>
        <v>0</v>
      </c>
      <c r="CM10" s="840">
        <f>IF(WWWW[[#This Row],['#_of_affected_households_receiving_a_sufficient_quantity_of_soap]]/WWWW[[#This Row],[Total HH]]&gt;1,1,WWWW[[#This Row],['#_of_affected_households_receiving_a_sufficient_quantity_of_soap]]/WWWW[[#This Row],[Total HH]])</f>
        <v>0</v>
      </c>
      <c r="CN10" s="458" t="str">
        <f>IF(WWWW[[#This Row],['#_students at TLS_CFS]]="","No","Yes")</f>
        <v>No</v>
      </c>
      <c r="CO10" s="455">
        <f>WWWW[[#This Row],[%_of_affected_people_surveyed_who_report_feeling_informed_about_the_different_WASH_services_available_to_them]]</f>
        <v>0</v>
      </c>
      <c r="CP10"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0" s="503">
        <f>IF(WWWW[[#This Row],['#_PPL_accessed_water_in_TLS]]&gt;WWWW[[#This Row],['# students access to functioning school latrines_HRP5]],WWWW[[#This Row],['#_PPL_accessed_water_in_TLS]],WWWW[[#This Row],['# students access to functioning school latrines_HRP5]])</f>
        <v>0</v>
      </c>
      <c r="CR10" s="503">
        <f>IF(WWWW[[#This Row],['#_PPL_accessed_water_in_THF]]&gt;WWWW[[#This Row],['# people access to functioning latrines in THF_HRP6]],WWWW[[#This Row],['#_PPL_accessed_water_in_THF]],WWWW[[#This Row],['# people access to functioning latrines in THF_HRP6]])</f>
        <v>0</v>
      </c>
      <c r="CS10" s="832" t="str">
        <f>VLOOKUP(WWWW[[#This Row],[Site Name]],SiteDB6[[Site Name]:[CCCM Management]],6,FALSE)</f>
        <v>Yes</v>
      </c>
      <c r="CT10" s="832">
        <f>VLOOKUP(WWWW[[#This Row],[Site Name]],SiteDB6[[Site Name]:[CCCM Focal Agency]],7,FALSE)</f>
        <v>0</v>
      </c>
      <c r="CU10" s="832" t="str">
        <f>VLOOKUP(WWWW[[#This Row],[Site Name]],SiteDB6[[Site Name]:[Location Type 1]],9,FALSE)</f>
        <v>Camp</v>
      </c>
      <c r="CV10" s="832" t="str">
        <f>VLOOKUP(WWWW[[#This Row],[Site Name]],SiteDB6[[Site Name]:[Type of Accommodation]],10,FALSE)</f>
        <v>Planned Camp</v>
      </c>
      <c r="CW10" s="832" t="str">
        <f>VLOOKUP(WWWW[[#This Row],[Site Name]],SiteDB6[[Site Name]:[Ethnic or GCA/NGCA]],11,FALSE)</f>
        <v>Muslim</v>
      </c>
      <c r="CX10" s="832">
        <f>VLOOKUP(WWWW[[#This Row],[Site Name]],SiteDB6[[Site Name]:[Lat]],12,FALSE)</f>
        <v>20.185092000000001</v>
      </c>
      <c r="CY10" s="832">
        <f>VLOOKUP(WWWW[[#This Row],[Site Name]],SiteDB6[[Site Name]:[Long]],13,FALSE)</f>
        <v>92.802295999999998</v>
      </c>
      <c r="CZ10" s="832" t="str">
        <f>VLOOKUP(WWWW[[#This Row],[Site Name]],SiteDB6[[Site Name]:[Pcode]],3,FALSE)</f>
        <v>MMR012CMP116</v>
      </c>
      <c r="DA10" s="845" t="str">
        <f t="shared" si="0"/>
        <v>Covered</v>
      </c>
      <c r="DB10" s="480">
        <f>VLOOKUP(WWWW[[#This Row],[Site Name]],SiteDB6[[Site Name]:[PWD_Total]],22,FALSE)</f>
        <v>223</v>
      </c>
      <c r="DC10" s="480">
        <f>VLOOKUP(WWWW[[#This Row],[Site Name]],SiteDB6[[Site Name]:[PWD_Total]],23,FALSE)</f>
        <v>1507</v>
      </c>
      <c r="DD10" s="480">
        <f>WWWW[[#This Row],['# of Male_People with disabilities]]+WWWW[[#This Row],['# of Female_People with disabilities]]</f>
        <v>1730</v>
      </c>
      <c r="DE10" s="832"/>
      <c r="DF10" s="845"/>
      <c r="DG10" s="845"/>
      <c r="DH10" s="845"/>
      <c r="DI10" s="845">
        <f>VLOOKUP(WWWW[[#This Row],[Site Name]],SiteDB6[[Site Name]:[Pop
(CCCM as of Autust 2021)]],16,FALSE)</f>
        <v>2275</v>
      </c>
      <c r="DJ10" s="845">
        <f>VLOOKUP(WWWW[[#This Row],[Site Name]],SiteDB6[[Site Name]:[Pop
(CCCM as of Autust 2021)]],17,FALSE)</f>
        <v>12341</v>
      </c>
    </row>
    <row r="11" spans="1:114">
      <c r="A11" s="830" t="s">
        <v>3156</v>
      </c>
      <c r="B11" s="862" t="s">
        <v>2256</v>
      </c>
      <c r="C11" s="863" t="s">
        <v>2256</v>
      </c>
      <c r="D11" s="863" t="s">
        <v>230</v>
      </c>
      <c r="E11" s="863" t="s">
        <v>293</v>
      </c>
      <c r="F11" s="863" t="s">
        <v>356</v>
      </c>
      <c r="G11" s="864" t="s">
        <v>43</v>
      </c>
      <c r="H11" s="863" t="s">
        <v>367</v>
      </c>
      <c r="I11" s="865">
        <v>372</v>
      </c>
      <c r="J11" s="865">
        <v>1067</v>
      </c>
      <c r="K11" s="687">
        <f>WWWW[[#This Row],[Total PoP ]]/WWWW[[#This Row],[Total HH]]</f>
        <v>2.868279569892473</v>
      </c>
      <c r="L11" s="866">
        <v>44378</v>
      </c>
      <c r="M11" s="867">
        <v>44742</v>
      </c>
      <c r="N11" s="865"/>
      <c r="O11" s="503"/>
      <c r="P11" s="865"/>
      <c r="Q11" s="503">
        <v>14</v>
      </c>
      <c r="R11" s="503">
        <v>19</v>
      </c>
      <c r="S11" s="865"/>
      <c r="T11" s="865">
        <v>1067</v>
      </c>
      <c r="U11" s="865">
        <v>36</v>
      </c>
      <c r="V11" s="868">
        <v>1</v>
      </c>
      <c r="W11" s="865">
        <v>84</v>
      </c>
      <c r="X11" s="868">
        <v>0.99</v>
      </c>
      <c r="Y11" s="865">
        <v>376</v>
      </c>
      <c r="Z11" s="503">
        <v>197</v>
      </c>
      <c r="AA11" s="503">
        <v>0</v>
      </c>
      <c r="AB11" s="869" t="s">
        <v>3162</v>
      </c>
      <c r="AC11" s="865">
        <v>94</v>
      </c>
      <c r="AD11" s="865">
        <v>94</v>
      </c>
      <c r="AE11" s="865">
        <v>23</v>
      </c>
      <c r="AF11" s="865">
        <v>94</v>
      </c>
      <c r="AG11" s="868">
        <v>1</v>
      </c>
      <c r="AH11" s="868">
        <v>1</v>
      </c>
      <c r="AI11" s="868">
        <v>1</v>
      </c>
      <c r="AJ11" s="865"/>
      <c r="AK11" s="865"/>
      <c r="AL11" s="865">
        <v>8</v>
      </c>
      <c r="AM11" s="503"/>
      <c r="AN11" s="865" t="s">
        <v>41</v>
      </c>
      <c r="AO11" s="870" t="s">
        <v>3163</v>
      </c>
      <c r="AP11" s="865">
        <v>124</v>
      </c>
      <c r="AQ11" s="865">
        <v>199</v>
      </c>
      <c r="AR11" s="865">
        <v>33</v>
      </c>
      <c r="AS11" s="865">
        <v>41</v>
      </c>
      <c r="AT11" s="865">
        <v>376</v>
      </c>
      <c r="AU11" s="865">
        <v>511</v>
      </c>
      <c r="AV11" s="453">
        <v>0</v>
      </c>
      <c r="AW11" s="868">
        <v>0.95</v>
      </c>
      <c r="AX11" s="454">
        <v>8</v>
      </c>
      <c r="AY11" s="871"/>
      <c r="AZ11" s="453"/>
      <c r="BA11" s="453"/>
      <c r="BB11" s="453"/>
      <c r="BC11" s="453"/>
      <c r="BD11" s="453">
        <v>0</v>
      </c>
      <c r="BE11" s="503"/>
      <c r="BF11" s="503"/>
      <c r="BG11" s="503"/>
      <c r="BH11" s="503"/>
      <c r="BI11" s="503"/>
      <c r="BJ11" s="503"/>
      <c r="BK11" s="503"/>
      <c r="BL11" s="872" t="str">
        <f>IF(WWWW[[#This Row],['#_Water samples_Tested_at_water_source]]="","no test","Tested")</f>
        <v>Tested</v>
      </c>
      <c r="BM11" s="872" t="str">
        <f>IF(WWWW[[#This Row],['#_Water samples_Tested_at_HH]]="","no test","Tested")</f>
        <v>Tested</v>
      </c>
      <c r="BN11" s="873" t="str">
        <f>IF(AND(WWWW[[#This Row],[Water_testing_at source]]="no test",WWWW[[#This Row],[Water_testing_at HH]]="no test"),"No Test","Tested")</f>
        <v>Tested</v>
      </c>
      <c r="BO11"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1" s="874">
        <f>WWWW[[#This Row],[% HRP1]]*WWWW[[#This Row],[Total PoP ]]</f>
        <v>1067</v>
      </c>
      <c r="BQ11" s="875">
        <f>WWWW[[#This Row],[HRP1]]/500</f>
        <v>2.1339999999999999</v>
      </c>
      <c r="BR11" s="876">
        <f>1-WWWW[[#This Row],[% HRP1]]</f>
        <v>0</v>
      </c>
      <c r="BS11" s="875">
        <f>WWWW[[#This Row],[%equitable and continuous access to sufficient quantity of safe drinking and domestic water''s GAP]]*WWWW[[#This Row],[Total PoP ]]</f>
        <v>0</v>
      </c>
      <c r="BT11" s="454">
        <f>ROUND(IF(WWWW[[#This Row],[Total PoP ]]&lt;500,1,WWWW[[#This Row],[Total PoP ]]/500),0)</f>
        <v>2</v>
      </c>
      <c r="BU11" s="873">
        <f>IF(WWWW[[#This Row],[Total required water points]]-WWWW[[#This Row],['#Water points coverage]]&lt;0,0,WWWW[[#This Row],[Total required water points]]-WWWW[[#This Row],['#Water points coverage]])</f>
        <v>0</v>
      </c>
      <c r="BV11" s="455">
        <f>WWWW[[#This Row],[HRP2]]/WWWW[[#This Row],[Total PoP ]]</f>
        <v>1</v>
      </c>
      <c r="BW11"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1067</v>
      </c>
      <c r="BX11" s="458">
        <f>IF(WWWW[[#This Row],['#_Functional_adult_latrines]]="","",WWWW[[#This Row],[Total PoP ]]/WWWW[[#This Row],['#_Functional_adult_latrines]])</f>
        <v>11.351063829787234</v>
      </c>
      <c r="BY11" s="873">
        <f>WWWW[[#This Row],['#_of_latrines_in_TLS/CFS]]*50</f>
        <v>400</v>
      </c>
      <c r="BZ11" s="454">
        <f>IF(WWWW[[#This Row],['#_of_latrines_in_THF]]="",0,WWWW[[#This Row],['#_of_latrines_in_THF]]*50)</f>
        <v>0</v>
      </c>
      <c r="CA11" s="873">
        <f>ROUND(IF(WWWW[[#This Row],[Location Type 1]]="camp",WWWW[[#This Row],[Total PoP ]]/20),0)</f>
        <v>53</v>
      </c>
      <c r="CB11" s="873">
        <f>IF(WWWW[[#This Row],[Total required Latrines]]-WWWW[[#This Row],['#_Existing_latrines]]&lt;0,0,WWWW[[#This Row],[Total required Latrines]]-WWWW[[#This Row],['#_Existing_latrines]])</f>
        <v>0</v>
      </c>
      <c r="CC11" s="876">
        <f>1-WWWW[[#This Row],[% HRP2]]</f>
        <v>0</v>
      </c>
      <c r="CD11" s="872">
        <f>IF(WWWW[[#This Row],['#_Existing_latrines]]="","NA",(WWWW[[#This Row],['#_Existing_latrines]]-WWWW[[#This Row],['#_Functional_adult_latrines]])/WWWW[[#This Row],['#_Existing_latrines]])</f>
        <v>0</v>
      </c>
      <c r="CE11"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397</v>
      </c>
      <c r="CF11"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1067</v>
      </c>
      <c r="CG11" s="873">
        <f>IF(WWWW[[#This Row],['#_of_affected_women_and_girls_receiving_a_sufficient_quantity_of_sanitary_pads]]&gt;WWWW[[#This Row],[Total PoP ]],WWWW[[#This Row],[Total PoP ]],WWWW[[#This Row],['#_of_affected_women_and_girls_receiving_a_sufficient_quantity_of_sanitary_pads]])</f>
        <v>511</v>
      </c>
      <c r="CH11" s="873">
        <f>IF(WWWW[[#This Row],['# People with access to soap]]&gt;WWWW[[#This Row],['# People with access to Sanity Pads]],WWWW[[#This Row],['# People with access to soap]],WWWW[[#This Row],['# People with access to Sanity Pads]])</f>
        <v>1067</v>
      </c>
      <c r="CI11" s="873">
        <f>IF(WWWW[[#This Row],['# people reached by regular dedicated hygiene promotion_5]]&gt;WWWW[[#This Row],['# People received regular supply of hygiene items_6]],WWWW[[#This Row],['# people reached by regular dedicated hygiene promotion_5]],WWWW[[#This Row],['# People received regular supply of hygiene items_6]])</f>
        <v>1067</v>
      </c>
      <c r="CJ11" s="876">
        <f>IF(WWWW[[#This Row],[HRP3]]/WWWW[[#This Row],[Total PoP ]]&gt;100%,100%,WWWW[[#This Row],[HRP3]]/WWWW[[#This Row],[Total PoP ]])</f>
        <v>1</v>
      </c>
      <c r="CK11" s="872">
        <f>1-WWWW[[#This Row],[Hygiene Coverage%]]</f>
        <v>0</v>
      </c>
      <c r="CL11" s="868">
        <f>WWWW[[#This Row],['# people reached by regular dedicated hygiene promotion_5]]/WWWW[[#This Row],[Total PoP ]]</f>
        <v>0.37207122774133083</v>
      </c>
      <c r="CM11" s="872">
        <f>IF(WWWW[[#This Row],['#_of_affected_households_receiving_a_sufficient_quantity_of_soap]]/WWWW[[#This Row],[Total HH]]&gt;1,1,WWWW[[#This Row],['#_of_affected_households_receiving_a_sufficient_quantity_of_soap]]/WWWW[[#This Row],[Total HH]])</f>
        <v>1</v>
      </c>
      <c r="CN11" s="458" t="str">
        <f>IF(WWWW[[#This Row],['#_students at TLS_CFS]]="","No","Yes")</f>
        <v>No</v>
      </c>
      <c r="CO11" s="455">
        <f>WWWW[[#This Row],[%_of_affected_people_surveyed_who_report_feeling_informed_about_the_different_WASH_services_available_to_them]]</f>
        <v>0</v>
      </c>
      <c r="CP11"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1" s="503">
        <f>IF(WWWW[[#This Row],['#_PPL_accessed_water_in_TLS]]&gt;WWWW[[#This Row],['# students access to functioning school latrines_HRP5]],WWWW[[#This Row],['#_PPL_accessed_water_in_TLS]],WWWW[[#This Row],['# students access to functioning school latrines_HRP5]])</f>
        <v>400</v>
      </c>
      <c r="CR11" s="503">
        <f>IF(WWWW[[#This Row],['#_PPL_accessed_water_in_THF]]&gt;WWWW[[#This Row],['# people access to functioning latrines in THF_HRP6]],WWWW[[#This Row],['#_PPL_accessed_water_in_THF]],WWWW[[#This Row],['# people access to functioning latrines in THF_HRP6]])</f>
        <v>0</v>
      </c>
      <c r="CS11" s="864" t="str">
        <f>VLOOKUP(WWWW[[#This Row],[Site Name]],SiteDB6[[Site Name]:[CCCM Management]],6,FALSE)</f>
        <v>Yes</v>
      </c>
      <c r="CT11" s="864" t="str">
        <f>VLOOKUP(WWWW[[#This Row],[Site Name]],SiteDB6[[Site Name]:[CCCM Focal Agency]],7,FALSE)</f>
        <v>UNHCR</v>
      </c>
      <c r="CU11" s="864" t="str">
        <f>VLOOKUP(WWWW[[#This Row],[Site Name]],SiteDB6[[Site Name]:[Location Type 1]],9,FALSE)</f>
        <v>Camp</v>
      </c>
      <c r="CV11" s="864" t="str">
        <f>VLOOKUP(WWWW[[#This Row],[Site Name]],SiteDB6[[Site Name]:[Type of Accommodation]],10,FALSE)</f>
        <v>Planned Camp</v>
      </c>
      <c r="CW11" s="864" t="str">
        <f>VLOOKUP(WWWW[[#This Row],[Site Name]],SiteDB6[[Site Name]:[Ethnic or GCA/NGCA]],11,FALSE)</f>
        <v>Muslim</v>
      </c>
      <c r="CX11" s="864">
        <f>VLOOKUP(WWWW[[#This Row],[Site Name]],SiteDB6[[Site Name]:[Lat]],12,FALSE)</f>
        <v>19.424576999999999</v>
      </c>
      <c r="CY11" s="864">
        <f>VLOOKUP(WWWW[[#This Row],[Site Name]],SiteDB6[[Site Name]:[Long]],13,FALSE)</f>
        <v>93.512326000000002</v>
      </c>
      <c r="CZ11" s="864" t="str">
        <f>VLOOKUP(WWWW[[#This Row],[Site Name]],SiteDB6[[Site Name]:[Pcode]],3,FALSE)</f>
        <v>MMR012CMP035</v>
      </c>
      <c r="DA11" s="877" t="str">
        <f t="shared" si="0"/>
        <v>Covered</v>
      </c>
      <c r="DB11" s="480"/>
      <c r="DC11" s="480"/>
      <c r="DD11" s="480">
        <f>WWWW[[#This Row],['# of Male_People with disabilities]]+WWWW[[#This Row],['# of Female_People with disabilities]]</f>
        <v>0</v>
      </c>
      <c r="DE11" s="864"/>
      <c r="DF11" s="877"/>
      <c r="DG11" s="877"/>
      <c r="DH11" s="877"/>
      <c r="DI11" s="877">
        <f>VLOOKUP(WWWW[[#This Row],[Site Name]],SiteDB6[[Site Name]:[Pop
(CCCM as of Autust 2021)]],16,FALSE)</f>
        <v>334</v>
      </c>
      <c r="DJ11" s="877">
        <f>VLOOKUP(WWWW[[#This Row],[Site Name]],SiteDB6[[Site Name]:[Pop
(CCCM as of Autust 2021)]],17,FALSE)</f>
        <v>1001</v>
      </c>
    </row>
    <row r="12" spans="1:114">
      <c r="A12" s="830" t="s">
        <v>3156</v>
      </c>
      <c r="B12" s="862" t="s">
        <v>265</v>
      </c>
      <c r="C12" s="863" t="s">
        <v>265</v>
      </c>
      <c r="D12" s="863" t="s">
        <v>2989</v>
      </c>
      <c r="E12" s="863" t="s">
        <v>293</v>
      </c>
      <c r="F12" s="863" t="s">
        <v>401</v>
      </c>
      <c r="G12" s="864" t="s">
        <v>43</v>
      </c>
      <c r="H12" s="863" t="s">
        <v>411</v>
      </c>
      <c r="I12" s="865">
        <v>1112</v>
      </c>
      <c r="J12" s="865">
        <v>5133</v>
      </c>
      <c r="K12" s="687">
        <f>WWWW[[#This Row],[Total PoP ]]/WWWW[[#This Row],[Total HH]]</f>
        <v>4.6160071942446042</v>
      </c>
      <c r="L12" s="866" t="s">
        <v>3034</v>
      </c>
      <c r="M12" s="867" t="s">
        <v>3035</v>
      </c>
      <c r="N12" s="865"/>
      <c r="O12" s="503"/>
      <c r="P12" s="865"/>
      <c r="Q12" s="503">
        <v>14</v>
      </c>
      <c r="R12" s="503">
        <v>14</v>
      </c>
      <c r="S12" s="865"/>
      <c r="T12" s="865">
        <v>5133</v>
      </c>
      <c r="U12" s="865"/>
      <c r="V12" s="868"/>
      <c r="W12" s="865"/>
      <c r="X12" s="868"/>
      <c r="Y12" s="865"/>
      <c r="Z12" s="503"/>
      <c r="AA12" s="503"/>
      <c r="AB12" s="869"/>
      <c r="AC12" s="865">
        <v>168</v>
      </c>
      <c r="AD12" s="865">
        <v>198</v>
      </c>
      <c r="AE12" s="865"/>
      <c r="AF12" s="865"/>
      <c r="AG12" s="868">
        <v>0.99</v>
      </c>
      <c r="AH12" s="868">
        <v>0.98</v>
      </c>
      <c r="AI12" s="868">
        <v>0.98</v>
      </c>
      <c r="AJ12" s="865">
        <v>27</v>
      </c>
      <c r="AK12" s="865">
        <v>60</v>
      </c>
      <c r="AL12" s="865"/>
      <c r="AM12" s="503">
        <v>3</v>
      </c>
      <c r="AN12" s="865" t="s">
        <v>41</v>
      </c>
      <c r="AO12" s="870" t="s">
        <v>3164</v>
      </c>
      <c r="AP12" s="865">
        <v>997</v>
      </c>
      <c r="AQ12" s="865">
        <v>1200</v>
      </c>
      <c r="AR12" s="865">
        <v>1521</v>
      </c>
      <c r="AS12" s="865">
        <v>1415</v>
      </c>
      <c r="AT12" s="865">
        <v>1112</v>
      </c>
      <c r="AU12" s="865">
        <v>2224</v>
      </c>
      <c r="AV12" s="453"/>
      <c r="AW12" s="868">
        <v>0.79</v>
      </c>
      <c r="AX12" s="454"/>
      <c r="AY12" s="871" t="s">
        <v>3165</v>
      </c>
      <c r="AZ12" s="453">
        <v>0.98</v>
      </c>
      <c r="BA12" s="453">
        <v>0.99</v>
      </c>
      <c r="BB12" s="453">
        <v>0.99</v>
      </c>
      <c r="BC12" s="453">
        <v>1</v>
      </c>
      <c r="BD12" s="453"/>
      <c r="BE12" s="503"/>
      <c r="BF12" s="503"/>
      <c r="BG12" s="503"/>
      <c r="BH12" s="503"/>
      <c r="BI12" s="503"/>
      <c r="BJ12" s="503"/>
      <c r="BK12" s="503"/>
      <c r="BL12" s="872" t="str">
        <f>IF(WWWW[[#This Row],['#_Water samples_Tested_at_water_source]]="","no test","Tested")</f>
        <v>no test</v>
      </c>
      <c r="BM12" s="872" t="str">
        <f>IF(WWWW[[#This Row],['#_Water samples_Tested_at_HH]]="","no test","Tested")</f>
        <v>no test</v>
      </c>
      <c r="BN12" s="873" t="str">
        <f>IF(AND(WWWW[[#This Row],[Water_testing_at source]]="no test",WWWW[[#This Row],[Water_testing_at HH]]="no test"),"No Test","Tested")</f>
        <v>No Test</v>
      </c>
      <c r="BO12"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2" s="874">
        <f>WWWW[[#This Row],[% HRP1]]*WWWW[[#This Row],[Total PoP ]]</f>
        <v>5133</v>
      </c>
      <c r="BQ12" s="875">
        <f>WWWW[[#This Row],[HRP1]]/500</f>
        <v>10.266</v>
      </c>
      <c r="BR12" s="876">
        <f>1-WWWW[[#This Row],[% HRP1]]</f>
        <v>0</v>
      </c>
      <c r="BS12" s="875">
        <f>WWWW[[#This Row],[%equitable and continuous access to sufficient quantity of safe drinking and domestic water''s GAP]]*WWWW[[#This Row],[Total PoP ]]</f>
        <v>0</v>
      </c>
      <c r="BT12" s="454">
        <f>ROUND(IF(WWWW[[#This Row],[Total PoP ]]&lt;500,1,WWWW[[#This Row],[Total PoP ]]/500),0)</f>
        <v>10</v>
      </c>
      <c r="BU12" s="873">
        <f>IF(WWWW[[#This Row],[Total required water points]]-WWWW[[#This Row],['#Water points coverage]]&lt;0,0,WWWW[[#This Row],[Total required water points]]-WWWW[[#This Row],['#Water points coverage]])</f>
        <v>0</v>
      </c>
      <c r="BV12" s="455">
        <f>WWWW[[#This Row],[HRP2]]/WWWW[[#This Row],[Total PoP ]]</f>
        <v>0.77147866744593807</v>
      </c>
      <c r="BW12"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3960</v>
      </c>
      <c r="BX12" s="458">
        <f>IF(WWWW[[#This Row],['#_Functional_adult_latrines]]="","",WWWW[[#This Row],[Total PoP ]]/WWWW[[#This Row],['#_Functional_adult_latrines]])</f>
        <v>30.553571428571427</v>
      </c>
      <c r="BY12" s="873">
        <f>WWWW[[#This Row],['#_of_latrines_in_TLS/CFS]]*50</f>
        <v>0</v>
      </c>
      <c r="BZ12" s="454">
        <f>IF(WWWW[[#This Row],['#_of_latrines_in_THF]]="",0,WWWW[[#This Row],['#_of_latrines_in_THF]]*50)</f>
        <v>150</v>
      </c>
      <c r="CA12" s="873">
        <f>ROUND(IF(WWWW[[#This Row],[Location Type 1]]="camp",WWWW[[#This Row],[Total PoP ]]/20),0)</f>
        <v>257</v>
      </c>
      <c r="CB12" s="873">
        <f>IF(WWWW[[#This Row],[Total required Latrines]]-WWWW[[#This Row],['#_Existing_latrines]]&lt;0,0,WWWW[[#This Row],[Total required Latrines]]-WWWW[[#This Row],['#_Existing_latrines]])</f>
        <v>59</v>
      </c>
      <c r="CC12" s="876">
        <f>1-WWWW[[#This Row],[% HRP2]]</f>
        <v>0.22852133255406193</v>
      </c>
      <c r="CD12" s="872">
        <f>IF(WWWW[[#This Row],['#_Existing_latrines]]="","NA",(WWWW[[#This Row],['#_Existing_latrines]]-WWWW[[#This Row],['#_Functional_adult_latrines]])/WWWW[[#This Row],['#_Existing_latrines]])</f>
        <v>0.15151515151515152</v>
      </c>
      <c r="CE12"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12"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12" s="873">
        <f>IF(WWWW[[#This Row],['#_of_affected_women_and_girls_receiving_a_sufficient_quantity_of_sanitary_pads]]&gt;WWWW[[#This Row],[Total PoP ]],WWWW[[#This Row],[Total PoP ]],WWWW[[#This Row],['#_of_affected_women_and_girls_receiving_a_sufficient_quantity_of_sanitary_pads]])</f>
        <v>2224</v>
      </c>
      <c r="CH12" s="873">
        <f>IF(WWWW[[#This Row],['# People with access to soap]]&gt;WWWW[[#This Row],['# People with access to Sanity Pads]],WWWW[[#This Row],['# People with access to soap]],WWWW[[#This Row],['# People with access to Sanity Pads]])</f>
        <v>5133</v>
      </c>
      <c r="CI12" s="873">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12" s="876">
        <f>IF(WWWW[[#This Row],[HRP3]]/WWWW[[#This Row],[Total PoP ]]&gt;100%,100%,WWWW[[#This Row],[HRP3]]/WWWW[[#This Row],[Total PoP ]])</f>
        <v>1</v>
      </c>
      <c r="CK12" s="872">
        <f>1-WWWW[[#This Row],[Hygiene Coverage%]]</f>
        <v>0</v>
      </c>
      <c r="CL12" s="868">
        <f>WWWW[[#This Row],['# people reached by regular dedicated hygiene promotion_5]]/WWWW[[#This Row],[Total PoP ]]</f>
        <v>1</v>
      </c>
      <c r="CM12" s="872">
        <f>IF(WWWW[[#This Row],['#_of_affected_households_receiving_a_sufficient_quantity_of_soap]]/WWWW[[#This Row],[Total HH]]&gt;1,1,WWWW[[#This Row],['#_of_affected_households_receiving_a_sufficient_quantity_of_soap]]/WWWW[[#This Row],[Total HH]])</f>
        <v>1</v>
      </c>
      <c r="CN12" s="458" t="str">
        <f>IF(WWWW[[#This Row],['#_students at TLS_CFS]]="","No","Yes")</f>
        <v>No</v>
      </c>
      <c r="CO12" s="455">
        <f>WWWW[[#This Row],[%_of_affected_people_surveyed_who_report_feeling_informed_about_the_different_WASH_services_available_to_them]]</f>
        <v>0.99</v>
      </c>
      <c r="CP12"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2" s="503">
        <f>IF(WWWW[[#This Row],['#_PPL_accessed_water_in_TLS]]&gt;WWWW[[#This Row],['# students access to functioning school latrines_HRP5]],WWWW[[#This Row],['#_PPL_accessed_water_in_TLS]],WWWW[[#This Row],['# students access to functioning school latrines_HRP5]])</f>
        <v>0</v>
      </c>
      <c r="CR12" s="503">
        <f>IF(WWWW[[#This Row],['#_PPL_accessed_water_in_THF]]&gt;WWWW[[#This Row],['# people access to functioning latrines in THF_HRP6]],WWWW[[#This Row],['#_PPL_accessed_water_in_THF]],WWWW[[#This Row],['# people access to functioning latrines in THF_HRP6]])</f>
        <v>150</v>
      </c>
      <c r="CS12" s="864" t="str">
        <f>VLOOKUP(WWWW[[#This Row],[Site Name]],SiteDB6[[Site Name]:[CCCM Management]],6,FALSE)</f>
        <v>Yes</v>
      </c>
      <c r="CT12" s="864" t="str">
        <f>VLOOKUP(WWWW[[#This Row],[Site Name]],SiteDB6[[Site Name]:[CCCM Focal Agency]],7,FALSE)</f>
        <v>LWF</v>
      </c>
      <c r="CU12" s="864" t="str">
        <f>VLOOKUP(WWWW[[#This Row],[Site Name]],SiteDB6[[Site Name]:[Location Type 1]],9,FALSE)</f>
        <v>Camp</v>
      </c>
      <c r="CV12" s="864" t="str">
        <f>VLOOKUP(WWWW[[#This Row],[Site Name]],SiteDB6[[Site Name]:[Type of Accommodation]],10,FALSE)</f>
        <v>Planned Camp</v>
      </c>
      <c r="CW12" s="864" t="str">
        <f>VLOOKUP(WWWW[[#This Row],[Site Name]],SiteDB6[[Site Name]:[Ethnic or GCA/NGCA]],11,FALSE)</f>
        <v>Muslim</v>
      </c>
      <c r="CX12" s="864">
        <f>VLOOKUP(WWWW[[#This Row],[Site Name]],SiteDB6[[Site Name]:[Lat]],12,FALSE)</f>
        <v>20.108101999999999</v>
      </c>
      <c r="CY12" s="864">
        <f>VLOOKUP(WWWW[[#This Row],[Site Name]],SiteDB6[[Site Name]:[Long]],13,FALSE)</f>
        <v>92.985095000000001</v>
      </c>
      <c r="CZ12" s="864" t="str">
        <f>VLOOKUP(WWWW[[#This Row],[Site Name]],SiteDB6[[Site Name]:[Pcode]],3,FALSE)</f>
        <v>MMR012CMP016</v>
      </c>
      <c r="DA12" s="877" t="str">
        <f t="shared" si="0"/>
        <v>Covered</v>
      </c>
      <c r="DB12" s="480"/>
      <c r="DC12" s="480"/>
      <c r="DD12" s="480">
        <f>WWWW[[#This Row],['# of Male_People with disabilities]]+WWWW[[#This Row],['# of Female_People with disabilities]]</f>
        <v>0</v>
      </c>
      <c r="DE12" s="864"/>
      <c r="DF12" s="877"/>
      <c r="DG12" s="877"/>
      <c r="DH12" s="877"/>
      <c r="DI12" s="877">
        <f>VLOOKUP(WWWW[[#This Row],[Site Name]],SiteDB6[[Site Name]:[Pop
(CCCM as of Autust 2021)]],16,FALSE)</f>
        <v>1115</v>
      </c>
      <c r="DJ12" s="877">
        <f>VLOOKUP(WWWW[[#This Row],[Site Name]],SiteDB6[[Site Name]:[Pop
(CCCM as of Autust 2021)]],17,FALSE)</f>
        <v>5197</v>
      </c>
    </row>
    <row r="13" spans="1:114">
      <c r="A13" s="830" t="s">
        <v>3156</v>
      </c>
      <c r="B13" s="862" t="s">
        <v>265</v>
      </c>
      <c r="C13" s="863" t="s">
        <v>265</v>
      </c>
      <c r="D13" s="863" t="s">
        <v>2955</v>
      </c>
      <c r="E13" s="863" t="s">
        <v>293</v>
      </c>
      <c r="F13" s="863" t="s">
        <v>401</v>
      </c>
      <c r="G13" s="864" t="s">
        <v>43</v>
      </c>
      <c r="H13" s="863" t="s">
        <v>409</v>
      </c>
      <c r="I13" s="865">
        <v>1387</v>
      </c>
      <c r="J13" s="865">
        <v>6674</v>
      </c>
      <c r="K13" s="687">
        <f>WWWW[[#This Row],[Total PoP ]]/WWWW[[#This Row],[Total HH]]</f>
        <v>4.8118240807498198</v>
      </c>
      <c r="L13" s="866">
        <v>43445</v>
      </c>
      <c r="M13" s="867">
        <v>44620</v>
      </c>
      <c r="N13" s="865"/>
      <c r="O13" s="503"/>
      <c r="P13" s="865"/>
      <c r="Q13" s="503">
        <v>36</v>
      </c>
      <c r="R13" s="503">
        <v>36</v>
      </c>
      <c r="S13" s="865"/>
      <c r="T13" s="865">
        <v>6674</v>
      </c>
      <c r="U13" s="865"/>
      <c r="V13" s="868"/>
      <c r="W13" s="865"/>
      <c r="X13" s="868"/>
      <c r="Y13" s="865"/>
      <c r="Z13" s="503"/>
      <c r="AA13" s="503"/>
      <c r="AB13" s="869"/>
      <c r="AC13" s="865">
        <v>212</v>
      </c>
      <c r="AD13" s="865">
        <v>238</v>
      </c>
      <c r="AE13" s="865"/>
      <c r="AF13" s="865"/>
      <c r="AG13" s="868">
        <v>0.99</v>
      </c>
      <c r="AH13" s="868">
        <v>0.98</v>
      </c>
      <c r="AI13" s="868">
        <v>0.98</v>
      </c>
      <c r="AJ13" s="865">
        <v>18</v>
      </c>
      <c r="AK13" s="865">
        <v>69</v>
      </c>
      <c r="AL13" s="865"/>
      <c r="AM13" s="503">
        <v>3</v>
      </c>
      <c r="AN13" s="865" t="s">
        <v>41</v>
      </c>
      <c r="AO13" s="870" t="s">
        <v>3164</v>
      </c>
      <c r="AP13" s="865">
        <v>1375</v>
      </c>
      <c r="AQ13" s="865">
        <v>1497</v>
      </c>
      <c r="AR13" s="865">
        <v>1953</v>
      </c>
      <c r="AS13" s="865">
        <v>1849</v>
      </c>
      <c r="AT13" s="865">
        <v>1387</v>
      </c>
      <c r="AU13" s="865">
        <v>2774</v>
      </c>
      <c r="AV13" s="453"/>
      <c r="AW13" s="868">
        <v>0.79</v>
      </c>
      <c r="AX13" s="454"/>
      <c r="AY13" s="871" t="s">
        <v>3167</v>
      </c>
      <c r="AZ13" s="453">
        <v>0.83</v>
      </c>
      <c r="BA13" s="453">
        <v>0.99</v>
      </c>
      <c r="BB13" s="453">
        <v>0.97</v>
      </c>
      <c r="BC13" s="453">
        <v>1</v>
      </c>
      <c r="BD13" s="453"/>
      <c r="BE13" s="503"/>
      <c r="BF13" s="503"/>
      <c r="BG13" s="503"/>
      <c r="BH13" s="503"/>
      <c r="BI13" s="503"/>
      <c r="BJ13" s="503"/>
      <c r="BK13" s="503"/>
      <c r="BL13" s="872" t="str">
        <f>IF(WWWW[[#This Row],['#_Water samples_Tested_at_water_source]]="","no test","Tested")</f>
        <v>no test</v>
      </c>
      <c r="BM13" s="872" t="str">
        <f>IF(WWWW[[#This Row],['#_Water samples_Tested_at_HH]]="","no test","Tested")</f>
        <v>no test</v>
      </c>
      <c r="BN13" s="873" t="str">
        <f>IF(AND(WWWW[[#This Row],[Water_testing_at source]]="no test",WWWW[[#This Row],[Water_testing_at HH]]="no test"),"No Test","Tested")</f>
        <v>No Test</v>
      </c>
      <c r="BO13"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3" s="874">
        <f>WWWW[[#This Row],[% HRP1]]*WWWW[[#This Row],[Total PoP ]]</f>
        <v>6674</v>
      </c>
      <c r="BQ13" s="875">
        <f>WWWW[[#This Row],[HRP1]]/500</f>
        <v>13.348000000000001</v>
      </c>
      <c r="BR13" s="876">
        <f>1-WWWW[[#This Row],[% HRP1]]</f>
        <v>0</v>
      </c>
      <c r="BS13" s="875">
        <f>WWWW[[#This Row],[%equitable and continuous access to sufficient quantity of safe drinking and domestic water''s GAP]]*WWWW[[#This Row],[Total PoP ]]</f>
        <v>0</v>
      </c>
      <c r="BT13" s="454">
        <f>ROUND(IF(WWWW[[#This Row],[Total PoP ]]&lt;500,1,WWWW[[#This Row],[Total PoP ]]/500),0)</f>
        <v>13</v>
      </c>
      <c r="BU13" s="873">
        <f>IF(WWWW[[#This Row],[Total required water points]]-WWWW[[#This Row],['#Water points coverage]]&lt;0,0,WWWW[[#This Row],[Total required water points]]-WWWW[[#This Row],['#Water points coverage]])</f>
        <v>0</v>
      </c>
      <c r="BV13" s="455">
        <f>WWWW[[#This Row],[HRP2]]/WWWW[[#This Row],[Total PoP ]]</f>
        <v>0.69958046149235842</v>
      </c>
      <c r="BW13"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4669</v>
      </c>
      <c r="BX13" s="458">
        <f>IF(WWWW[[#This Row],['#_Functional_adult_latrines]]="","",WWWW[[#This Row],[Total PoP ]]/WWWW[[#This Row],['#_Functional_adult_latrines]])</f>
        <v>31.481132075471699</v>
      </c>
      <c r="BY13" s="873">
        <f>WWWW[[#This Row],['#_of_latrines_in_TLS/CFS]]*50</f>
        <v>0</v>
      </c>
      <c r="BZ13" s="454">
        <f>IF(WWWW[[#This Row],['#_of_latrines_in_THF]]="",0,WWWW[[#This Row],['#_of_latrines_in_THF]]*50)</f>
        <v>150</v>
      </c>
      <c r="CA13" s="873">
        <f>ROUND(IF(WWWW[[#This Row],[Location Type 1]]="camp",WWWW[[#This Row],[Total PoP ]]/20),0)</f>
        <v>334</v>
      </c>
      <c r="CB13" s="873">
        <f>IF(WWWW[[#This Row],[Total required Latrines]]-WWWW[[#This Row],['#_Existing_latrines]]&lt;0,0,WWWW[[#This Row],[Total required Latrines]]-WWWW[[#This Row],['#_Existing_latrines]])</f>
        <v>96</v>
      </c>
      <c r="CC13" s="876">
        <f>1-WWWW[[#This Row],[% HRP2]]</f>
        <v>0.30041953850764158</v>
      </c>
      <c r="CD13" s="872">
        <f>IF(WWWW[[#This Row],['#_Existing_latrines]]="","NA",(WWWW[[#This Row],['#_Existing_latrines]]-WWWW[[#This Row],['#_Functional_adult_latrines]])/WWWW[[#This Row],['#_Existing_latrines]])</f>
        <v>0.1092436974789916</v>
      </c>
      <c r="CE13"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6674</v>
      </c>
      <c r="CF13"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6674</v>
      </c>
      <c r="CG13" s="873">
        <f>IF(WWWW[[#This Row],['#_of_affected_women_and_girls_receiving_a_sufficient_quantity_of_sanitary_pads]]&gt;WWWW[[#This Row],[Total PoP ]],WWWW[[#This Row],[Total PoP ]],WWWW[[#This Row],['#_of_affected_women_and_girls_receiving_a_sufficient_quantity_of_sanitary_pads]])</f>
        <v>2774</v>
      </c>
      <c r="CH13" s="873">
        <f>IF(WWWW[[#This Row],['# People with access to soap]]&gt;WWWW[[#This Row],['# People with access to Sanity Pads]],WWWW[[#This Row],['# People with access to soap]],WWWW[[#This Row],['# People with access to Sanity Pads]])</f>
        <v>6674</v>
      </c>
      <c r="CI13" s="873">
        <f>IF(WWWW[[#This Row],['# people reached by regular dedicated hygiene promotion_5]]&gt;WWWW[[#This Row],['# People received regular supply of hygiene items_6]],WWWW[[#This Row],['# people reached by regular dedicated hygiene promotion_5]],WWWW[[#This Row],['# People received regular supply of hygiene items_6]])</f>
        <v>6674</v>
      </c>
      <c r="CJ13" s="876">
        <f>IF(WWWW[[#This Row],[HRP3]]/WWWW[[#This Row],[Total PoP ]]&gt;100%,100%,WWWW[[#This Row],[HRP3]]/WWWW[[#This Row],[Total PoP ]])</f>
        <v>1</v>
      </c>
      <c r="CK13" s="872">
        <f>1-WWWW[[#This Row],[Hygiene Coverage%]]</f>
        <v>0</v>
      </c>
      <c r="CL13" s="868">
        <f>WWWW[[#This Row],['# people reached by regular dedicated hygiene promotion_5]]/WWWW[[#This Row],[Total PoP ]]</f>
        <v>1</v>
      </c>
      <c r="CM13" s="872">
        <f>IF(WWWW[[#This Row],['#_of_affected_households_receiving_a_sufficient_quantity_of_soap]]/WWWW[[#This Row],[Total HH]]&gt;1,1,WWWW[[#This Row],['#_of_affected_households_receiving_a_sufficient_quantity_of_soap]]/WWWW[[#This Row],[Total HH]])</f>
        <v>1</v>
      </c>
      <c r="CN13" s="458" t="str">
        <f>IF(WWWW[[#This Row],['#_students at TLS_CFS]]="","No","Yes")</f>
        <v>No</v>
      </c>
      <c r="CO13" s="455">
        <f>WWWW[[#This Row],[%_of_affected_people_surveyed_who_report_feeling_informed_about_the_different_WASH_services_available_to_them]]</f>
        <v>0.97</v>
      </c>
      <c r="CP13"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3" s="503">
        <f>IF(WWWW[[#This Row],['#_PPL_accessed_water_in_TLS]]&gt;WWWW[[#This Row],['# students access to functioning school latrines_HRP5]],WWWW[[#This Row],['#_PPL_accessed_water_in_TLS]],WWWW[[#This Row],['# students access to functioning school latrines_HRP5]])</f>
        <v>0</v>
      </c>
      <c r="CR13" s="503">
        <f>IF(WWWW[[#This Row],['#_PPL_accessed_water_in_THF]]&gt;WWWW[[#This Row],['# people access to functioning latrines in THF_HRP6]],WWWW[[#This Row],['#_PPL_accessed_water_in_THF]],WWWW[[#This Row],['# people access to functioning latrines in THF_HRP6]])</f>
        <v>150</v>
      </c>
      <c r="CS13" s="864" t="str">
        <f>VLOOKUP(WWWW[[#This Row],[Site Name]],SiteDB6[[Site Name]:[CCCM Management]],6,FALSE)</f>
        <v>Yes</v>
      </c>
      <c r="CT13" s="864" t="str">
        <f>VLOOKUP(WWWW[[#This Row],[Site Name]],SiteDB6[[Site Name]:[CCCM Focal Agency]],7,FALSE)</f>
        <v>DRC</v>
      </c>
      <c r="CU13" s="864" t="str">
        <f>VLOOKUP(WWWW[[#This Row],[Site Name]],SiteDB6[[Site Name]:[Location Type 1]],9,FALSE)</f>
        <v>Camp</v>
      </c>
      <c r="CV13" s="864" t="str">
        <f>VLOOKUP(WWWW[[#This Row],[Site Name]],SiteDB6[[Site Name]:[Type of Accommodation]],10,FALSE)</f>
        <v>Planned Camp</v>
      </c>
      <c r="CW13" s="864" t="str">
        <f>VLOOKUP(WWWW[[#This Row],[Site Name]],SiteDB6[[Site Name]:[Ethnic or GCA/NGCA]],11,FALSE)</f>
        <v>Muslim</v>
      </c>
      <c r="CX13" s="864">
        <f>VLOOKUP(WWWW[[#This Row],[Site Name]],SiteDB6[[Site Name]:[Lat]],12,FALSE)</f>
        <v>20.090183</v>
      </c>
      <c r="CY13" s="864">
        <f>VLOOKUP(WWWW[[#This Row],[Site Name]],SiteDB6[[Site Name]:[Long]],13,FALSE)</f>
        <v>93.010368999999997</v>
      </c>
      <c r="CZ13" s="864" t="str">
        <f>VLOOKUP(WWWW[[#This Row],[Site Name]],SiteDB6[[Site Name]:[Pcode]],3,FALSE)</f>
        <v>MMR012CMP018</v>
      </c>
      <c r="DA13" s="877" t="str">
        <f t="shared" si="0"/>
        <v>Covered</v>
      </c>
      <c r="DB13" s="480"/>
      <c r="DC13" s="480"/>
      <c r="DD13" s="480">
        <f>WWWW[[#This Row],['# of Male_People with disabilities]]+WWWW[[#This Row],['# of Female_People with disabilities]]</f>
        <v>0</v>
      </c>
      <c r="DE13" s="864"/>
      <c r="DF13" s="877"/>
      <c r="DG13" s="877"/>
      <c r="DH13" s="877"/>
      <c r="DI13" s="877">
        <f>VLOOKUP(WWWW[[#This Row],[Site Name]],SiteDB6[[Site Name]:[Pop
(CCCM as of Autust 2021)]],16,FALSE)</f>
        <v>1387</v>
      </c>
      <c r="DJ13" s="877">
        <f>VLOOKUP(WWWW[[#This Row],[Site Name]],SiteDB6[[Site Name]:[Pop
(CCCM as of Autust 2021)]],17,FALSE)</f>
        <v>6674</v>
      </c>
    </row>
    <row r="14" spans="1:114">
      <c r="A14" s="830" t="s">
        <v>3156</v>
      </c>
      <c r="B14" s="830" t="s">
        <v>2270</v>
      </c>
      <c r="C14" s="831" t="s">
        <v>2270</v>
      </c>
      <c r="D14" s="831" t="s">
        <v>40</v>
      </c>
      <c r="E14" s="831" t="s">
        <v>293</v>
      </c>
      <c r="F14" s="831" t="s">
        <v>294</v>
      </c>
      <c r="G14" s="810" t="s">
        <v>43</v>
      </c>
      <c r="H14" s="831" t="s">
        <v>2272</v>
      </c>
      <c r="I14" s="833">
        <v>400</v>
      </c>
      <c r="J14" s="833">
        <v>2186</v>
      </c>
      <c r="K14" s="687">
        <f>WWWW[[#This Row],[Total PoP ]]/WWWW[[#This Row],[Total HH]]</f>
        <v>5.4649999999999999</v>
      </c>
      <c r="L14" s="834">
        <v>44197</v>
      </c>
      <c r="M14" s="835">
        <v>44592</v>
      </c>
      <c r="N14" s="833"/>
      <c r="O14" s="503">
        <v>24</v>
      </c>
      <c r="P14" s="833">
        <v>26</v>
      </c>
      <c r="Q14" s="503"/>
      <c r="R14" s="503"/>
      <c r="S14" s="833"/>
      <c r="T14" s="833"/>
      <c r="U14" s="833"/>
      <c r="V14" s="836"/>
      <c r="W14" s="833"/>
      <c r="X14" s="836"/>
      <c r="Y14" s="833"/>
      <c r="Z14" s="503"/>
      <c r="AA14" s="503"/>
      <c r="AB14" s="837"/>
      <c r="AC14" s="833">
        <v>100</v>
      </c>
      <c r="AD14" s="833">
        <v>104</v>
      </c>
      <c r="AE14" s="833"/>
      <c r="AF14" s="833"/>
      <c r="AG14" s="836"/>
      <c r="AH14" s="836"/>
      <c r="AI14" s="836"/>
      <c r="AJ14" s="833">
        <v>8</v>
      </c>
      <c r="AK14" s="833">
        <v>32</v>
      </c>
      <c r="AL14" s="833">
        <v>3</v>
      </c>
      <c r="AM14" s="503"/>
      <c r="AN14" s="833" t="s">
        <v>41</v>
      </c>
      <c r="AO14" s="838"/>
      <c r="AP14" s="833"/>
      <c r="AQ14" s="833"/>
      <c r="AR14" s="833"/>
      <c r="AS14" s="833"/>
      <c r="AT14" s="833"/>
      <c r="AU14" s="833"/>
      <c r="AV14" s="453"/>
      <c r="AW14" s="836"/>
      <c r="AX14" s="454">
        <v>0</v>
      </c>
      <c r="AY14" s="846"/>
      <c r="AZ14" s="453"/>
      <c r="BA14" s="453"/>
      <c r="BB14" s="453"/>
      <c r="BC14" s="453"/>
      <c r="BD14" s="453"/>
      <c r="BE14" s="503"/>
      <c r="BF14" s="503"/>
      <c r="BG14" s="503"/>
      <c r="BH14" s="857"/>
      <c r="BI14" s="857"/>
      <c r="BJ14" s="854"/>
      <c r="BK14" s="503"/>
      <c r="BL14" s="840" t="str">
        <f>IF(WWWW[[#This Row],['#_Water samples_Tested_at_water_source]]="","no test","Tested")</f>
        <v>no test</v>
      </c>
      <c r="BM14" s="840" t="str">
        <f>IF(WWWW[[#This Row],['#_Water samples_Tested_at_HH]]="","no test","Tested")</f>
        <v>no test</v>
      </c>
      <c r="BN14" s="841" t="str">
        <f>IF(AND(WWWW[[#This Row],[Water_testing_at source]]="no test",WWWW[[#This Row],[Water_testing_at HH]]="no test"),"No Test","Tested")</f>
        <v>No Test</v>
      </c>
      <c r="BO14"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4" s="842">
        <f>WWWW[[#This Row],[% HRP1]]*WWWW[[#This Row],[Total PoP ]]</f>
        <v>2186</v>
      </c>
      <c r="BQ14" s="843">
        <f>WWWW[[#This Row],[HRP1]]/500</f>
        <v>4.3719999999999999</v>
      </c>
      <c r="BR14" s="844">
        <f>1-WWWW[[#This Row],[% HRP1]]</f>
        <v>0</v>
      </c>
      <c r="BS14" s="843">
        <f>WWWW[[#This Row],[%equitable and continuous access to sufficient quantity of safe drinking and domestic water''s GAP]]*WWWW[[#This Row],[Total PoP ]]</f>
        <v>0</v>
      </c>
      <c r="BT14" s="454">
        <f>ROUND(IF(WWWW[[#This Row],[Total PoP ]]&lt;500,1,WWWW[[#This Row],[Total PoP ]]/500),0)</f>
        <v>4</v>
      </c>
      <c r="BU14" s="841">
        <f>IF(WWWW[[#This Row],[Total required water points]]-WWWW[[#This Row],['#Water points coverage]]&lt;0,0,WWWW[[#This Row],[Total required water points]]-WWWW[[#This Row],['#Water points coverage]])</f>
        <v>0</v>
      </c>
      <c r="BV14" s="455">
        <f>WWWW[[#This Row],[HRP2]]/WWWW[[#This Row],[Total PoP ]]</f>
        <v>1</v>
      </c>
      <c r="BW14"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2186</v>
      </c>
      <c r="BX14" s="458">
        <f>IF(WWWW[[#This Row],['#_Functional_adult_latrines]]="","",WWWW[[#This Row],[Total PoP ]]/WWWW[[#This Row],['#_Functional_adult_latrines]])</f>
        <v>21.86</v>
      </c>
      <c r="BY14" s="841">
        <f>WWWW[[#This Row],['#_of_latrines_in_TLS/CFS]]*50</f>
        <v>150</v>
      </c>
      <c r="BZ14" s="454">
        <f>IF(WWWW[[#This Row],['#_of_latrines_in_THF]]="",0,WWWW[[#This Row],['#_of_latrines_in_THF]]*50)</f>
        <v>0</v>
      </c>
      <c r="CA14" s="841">
        <f>ROUND(IF(WWWW[[#This Row],[Location Type 1]]="camp",WWWW[[#This Row],[Total PoP ]]/20),0)</f>
        <v>109</v>
      </c>
      <c r="CB14" s="841">
        <f>IF(WWWW[[#This Row],[Total required Latrines]]-WWWW[[#This Row],['#_Existing_latrines]]&lt;0,0,WWWW[[#This Row],[Total required Latrines]]-WWWW[[#This Row],['#_Existing_latrines]])</f>
        <v>5</v>
      </c>
      <c r="CC14" s="844">
        <f>1-WWWW[[#This Row],[% HRP2]]</f>
        <v>0</v>
      </c>
      <c r="CD14" s="840">
        <f>IF(WWWW[[#This Row],['#_Existing_latrines]]="","NA",(WWWW[[#This Row],['#_Existing_latrines]]-WWWW[[#This Row],['#_Functional_adult_latrines]])/WWWW[[#This Row],['#_Existing_latrines]])</f>
        <v>3.8461538461538464E-2</v>
      </c>
      <c r="CE14"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4"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4" s="841">
        <f>IF(WWWW[[#This Row],['#_of_affected_women_and_girls_receiving_a_sufficient_quantity_of_sanitary_pads]]&gt;WWWW[[#This Row],[Total PoP ]],WWWW[[#This Row],[Total PoP ]],WWWW[[#This Row],['#_of_affected_women_and_girls_receiving_a_sufficient_quantity_of_sanitary_pads]])</f>
        <v>0</v>
      </c>
      <c r="CH14" s="841">
        <f>IF(WWWW[[#This Row],['# People with access to soap]]&gt;WWWW[[#This Row],['# People with access to Sanity Pads]],WWWW[[#This Row],['# People with access to soap]],WWWW[[#This Row],['# People with access to Sanity Pads]])</f>
        <v>0</v>
      </c>
      <c r="CI14"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4" s="844">
        <f>IF(WWWW[[#This Row],[HRP3]]/WWWW[[#This Row],[Total PoP ]]&gt;100%,100%,WWWW[[#This Row],[HRP3]]/WWWW[[#This Row],[Total PoP ]])</f>
        <v>0</v>
      </c>
      <c r="CK14" s="840">
        <f>1-WWWW[[#This Row],[Hygiene Coverage%]]</f>
        <v>1</v>
      </c>
      <c r="CL14" s="836">
        <f>WWWW[[#This Row],['# people reached by regular dedicated hygiene promotion_5]]/WWWW[[#This Row],[Total PoP ]]</f>
        <v>0</v>
      </c>
      <c r="CM14" s="840">
        <f>IF(WWWW[[#This Row],['#_of_affected_households_receiving_a_sufficient_quantity_of_soap]]/WWWW[[#This Row],[Total HH]]&gt;1,1,WWWW[[#This Row],['#_of_affected_households_receiving_a_sufficient_quantity_of_soap]]/WWWW[[#This Row],[Total HH]])</f>
        <v>0</v>
      </c>
      <c r="CN14" s="458" t="str">
        <f>IF(WWWW[[#This Row],['#_students at TLS_CFS]]="","No","Yes")</f>
        <v>No</v>
      </c>
      <c r="CO14" s="455">
        <f>WWWW[[#This Row],[%_of_affected_people_surveyed_who_report_feeling_informed_about_the_different_WASH_services_available_to_them]]</f>
        <v>0</v>
      </c>
      <c r="CP14"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4" s="503">
        <f>IF(WWWW[[#This Row],['#_PPL_accessed_water_in_TLS]]&gt;WWWW[[#This Row],['# students access to functioning school latrines_HRP5]],WWWW[[#This Row],['#_PPL_accessed_water_in_TLS]],WWWW[[#This Row],['# students access to functioning school latrines_HRP5]])</f>
        <v>150</v>
      </c>
      <c r="CR14" s="503">
        <f>IF(WWWW[[#This Row],['#_PPL_accessed_water_in_THF]]&gt;WWWW[[#This Row],['# people access to functioning latrines in THF_HRP6]],WWWW[[#This Row],['#_PPL_accessed_water_in_THF]],WWWW[[#This Row],['# people access to functioning latrines in THF_HRP6]])</f>
        <v>0</v>
      </c>
      <c r="CS14" s="832">
        <f>VLOOKUP(WWWW[[#This Row],[Site Name]],SiteDB6[[Site Name]:[CCCM Management]],6,FALSE)</f>
        <v>0</v>
      </c>
      <c r="CT14" s="832">
        <f>VLOOKUP(WWWW[[#This Row],[Site Name]],SiteDB6[[Site Name]:[CCCM Focal Agency]],7,FALSE)</f>
        <v>0</v>
      </c>
      <c r="CU14" s="832" t="str">
        <f>VLOOKUP(WWWW[[#This Row],[Site Name]],SiteDB6[[Site Name]:[Location Type 1]],9,FALSE)</f>
        <v>Camp</v>
      </c>
      <c r="CV14" s="832" t="str">
        <f>VLOOKUP(WWWW[[#This Row],[Site Name]],SiteDB6[[Site Name]:[Type of Accommodation]],10,FALSE)</f>
        <v>Planned Camp</v>
      </c>
      <c r="CW14" s="832" t="str">
        <f>VLOOKUP(WWWW[[#This Row],[Site Name]],SiteDB6[[Site Name]:[Ethnic or GCA/NGCA]],11,FALSE)</f>
        <v>Muslim</v>
      </c>
      <c r="CX14" s="832">
        <f>VLOOKUP(WWWW[[#This Row],[Site Name]],SiteDB6[[Site Name]:[Lat]],12,FALSE)</f>
        <v>20.180194</v>
      </c>
      <c r="CY14" s="832">
        <f>VLOOKUP(WWWW[[#This Row],[Site Name]],SiteDB6[[Site Name]:[Long]],13,FALSE)</f>
        <v>92.816638999999995</v>
      </c>
      <c r="CZ14" s="832" t="str">
        <f>VLOOKUP(WWWW[[#This Row],[Site Name]],SiteDB6[[Site Name]:[Pcode]],3,FALSE)</f>
        <v>MMR012CMP042</v>
      </c>
      <c r="DA14" s="845" t="str">
        <f t="shared" si="0"/>
        <v>Covered</v>
      </c>
      <c r="DB14" s="480">
        <f>VLOOKUP(WWWW[[#This Row],[Site Name]],SiteDB6[[Site Name]:[PWD_Total]],22,FALSE)</f>
        <v>70</v>
      </c>
      <c r="DC14" s="480">
        <f>VLOOKUP(WWWW[[#This Row],[Site Name]],SiteDB6[[Site Name]:[PWD_Total]],23,FALSE)</f>
        <v>241</v>
      </c>
      <c r="DD14" s="480">
        <f>WWWW[[#This Row],['# of Male_People with disabilities]]+WWWW[[#This Row],['# of Female_People with disabilities]]</f>
        <v>311</v>
      </c>
      <c r="DE14" s="832"/>
      <c r="DF14" s="845"/>
      <c r="DG14" s="845"/>
      <c r="DH14" s="845"/>
      <c r="DI14" s="845">
        <f>VLOOKUP(WWWW[[#This Row],[Site Name]],SiteDB6[[Site Name]:[Pop
(CCCM as of Autust 2021)]],16,FALSE)</f>
        <v>400</v>
      </c>
      <c r="DJ14" s="845">
        <f>VLOOKUP(WWWW[[#This Row],[Site Name]],SiteDB6[[Site Name]:[Pop
(CCCM as of Autust 2021)]],17,FALSE)</f>
        <v>2228</v>
      </c>
    </row>
    <row r="15" spans="1:114">
      <c r="A15" s="830" t="s">
        <v>3156</v>
      </c>
      <c r="B15" s="830" t="s">
        <v>2623</v>
      </c>
      <c r="C15" s="831" t="s">
        <v>2269</v>
      </c>
      <c r="D15" s="831" t="s">
        <v>40</v>
      </c>
      <c r="E15" s="831" t="s">
        <v>293</v>
      </c>
      <c r="F15" s="831" t="s">
        <v>294</v>
      </c>
      <c r="G15" s="810" t="s">
        <v>43</v>
      </c>
      <c r="H15" s="831" t="s">
        <v>430</v>
      </c>
      <c r="I15" s="833">
        <v>656</v>
      </c>
      <c r="J15" s="833">
        <v>3486</v>
      </c>
      <c r="K15" s="687">
        <f>WWWW[[#This Row],[Total PoP ]]/WWWW[[#This Row],[Total HH]]</f>
        <v>5.3140243902439028</v>
      </c>
      <c r="L15" s="834">
        <v>44197</v>
      </c>
      <c r="M15" s="835">
        <v>44592</v>
      </c>
      <c r="N15" s="833"/>
      <c r="O15" s="503">
        <v>29</v>
      </c>
      <c r="P15" s="833">
        <v>39</v>
      </c>
      <c r="Q15" s="503"/>
      <c r="R15" s="503"/>
      <c r="S15" s="833"/>
      <c r="T15" s="833"/>
      <c r="U15" s="503"/>
      <c r="V15" s="453"/>
      <c r="W15" s="833"/>
      <c r="X15" s="836"/>
      <c r="Y15" s="833"/>
      <c r="Z15" s="503"/>
      <c r="AA15" s="503"/>
      <c r="AB15" s="837"/>
      <c r="AC15" s="833">
        <v>199</v>
      </c>
      <c r="AD15" s="833">
        <v>228</v>
      </c>
      <c r="AE15" s="833"/>
      <c r="AF15" s="833"/>
      <c r="AG15" s="836"/>
      <c r="AH15" s="836"/>
      <c r="AI15" s="836"/>
      <c r="AJ15" s="833">
        <v>2</v>
      </c>
      <c r="AK15" s="833">
        <v>42</v>
      </c>
      <c r="AL15" s="833">
        <v>8</v>
      </c>
      <c r="AM15" s="503"/>
      <c r="AN15" s="833" t="s">
        <v>41</v>
      </c>
      <c r="AO15" s="838"/>
      <c r="AP15" s="833"/>
      <c r="AQ15" s="833"/>
      <c r="AR15" s="833"/>
      <c r="AS15" s="833"/>
      <c r="AT15" s="833"/>
      <c r="AU15" s="833"/>
      <c r="AV15" s="453"/>
      <c r="AW15" s="836"/>
      <c r="AX15" s="454">
        <v>3</v>
      </c>
      <c r="AY15" s="846"/>
      <c r="AZ15" s="453"/>
      <c r="BA15" s="453"/>
      <c r="BB15" s="453"/>
      <c r="BC15" s="453"/>
      <c r="BD15" s="453"/>
      <c r="BE15" s="503"/>
      <c r="BF15" s="503"/>
      <c r="BG15" s="503"/>
      <c r="BH15" s="857"/>
      <c r="BI15" s="857"/>
      <c r="BJ15" s="854"/>
      <c r="BK15" s="503"/>
      <c r="BL15" s="840" t="str">
        <f>IF(WWWW[[#This Row],['#_Water samples_Tested_at_water_source]]="","no test","Tested")</f>
        <v>no test</v>
      </c>
      <c r="BM15" s="840" t="str">
        <f>IF(WWWW[[#This Row],['#_Water samples_Tested_at_HH]]="","no test","Tested")</f>
        <v>no test</v>
      </c>
      <c r="BN15" s="841" t="str">
        <f>IF(AND(WWWW[[#This Row],[Water_testing_at source]]="no test",WWWW[[#This Row],[Water_testing_at HH]]="no test"),"No Test","Tested")</f>
        <v>No Test</v>
      </c>
      <c r="BO15"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5" s="842">
        <f>WWWW[[#This Row],[% HRP1]]*WWWW[[#This Row],[Total PoP ]]</f>
        <v>3486</v>
      </c>
      <c r="BQ15" s="843">
        <f>WWWW[[#This Row],[HRP1]]/500</f>
        <v>6.9720000000000004</v>
      </c>
      <c r="BR15" s="844">
        <f>1-WWWW[[#This Row],[% HRP1]]</f>
        <v>0</v>
      </c>
      <c r="BS15" s="843">
        <f>WWWW[[#This Row],[%equitable and continuous access to sufficient quantity of safe drinking and domestic water''s GAP]]*WWWW[[#This Row],[Total PoP ]]</f>
        <v>0</v>
      </c>
      <c r="BT15" s="454">
        <f>ROUND(IF(WWWW[[#This Row],[Total PoP ]]&lt;500,1,WWWW[[#This Row],[Total PoP ]]/500),0)</f>
        <v>7</v>
      </c>
      <c r="BU15" s="841">
        <f>IF(WWWW[[#This Row],[Total required water points]]-WWWW[[#This Row],['#Water points coverage]]&lt;0,0,WWWW[[#This Row],[Total required water points]]-WWWW[[#This Row],['#Water points coverage]])</f>
        <v>2.7999999999999581E-2</v>
      </c>
      <c r="BV15" s="455">
        <f>WWWW[[#This Row],[HRP2]]/WWWW[[#This Row],[Total PoP ]]</f>
        <v>1</v>
      </c>
      <c r="BW15"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15" s="458">
        <f>IF(WWWW[[#This Row],['#_Functional_adult_latrines]]="","",WWWW[[#This Row],[Total PoP ]]/WWWW[[#This Row],['#_Functional_adult_latrines]])</f>
        <v>17.517587939698494</v>
      </c>
      <c r="BY15" s="841">
        <f>WWWW[[#This Row],['#_of_latrines_in_TLS/CFS]]*50</f>
        <v>400</v>
      </c>
      <c r="BZ15" s="454">
        <f>IF(WWWW[[#This Row],['#_of_latrines_in_THF]]="",0,WWWW[[#This Row],['#_of_latrines_in_THF]]*50)</f>
        <v>0</v>
      </c>
      <c r="CA15" s="841">
        <f>ROUND(IF(WWWW[[#This Row],[Location Type 1]]="camp",WWWW[[#This Row],[Total PoP ]]/20),0)</f>
        <v>174</v>
      </c>
      <c r="CB15" s="841">
        <f>IF(WWWW[[#This Row],[Total required Latrines]]-WWWW[[#This Row],['#_Existing_latrines]]&lt;0,0,WWWW[[#This Row],[Total required Latrines]]-WWWW[[#This Row],['#_Existing_latrines]])</f>
        <v>0</v>
      </c>
      <c r="CC15" s="844">
        <f>1-WWWW[[#This Row],[% HRP2]]</f>
        <v>0</v>
      </c>
      <c r="CD15" s="840">
        <f>IF(WWWW[[#This Row],['#_Existing_latrines]]="","NA",(WWWW[[#This Row],['#_Existing_latrines]]-WWWW[[#This Row],['#_Functional_adult_latrines]])/WWWW[[#This Row],['#_Existing_latrines]])</f>
        <v>0.12719298245614036</v>
      </c>
      <c r="CE15"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5"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5" s="841">
        <f>IF(WWWW[[#This Row],['#_of_affected_women_and_girls_receiving_a_sufficient_quantity_of_sanitary_pads]]&gt;WWWW[[#This Row],[Total PoP ]],WWWW[[#This Row],[Total PoP ]],WWWW[[#This Row],['#_of_affected_women_and_girls_receiving_a_sufficient_quantity_of_sanitary_pads]])</f>
        <v>0</v>
      </c>
      <c r="CH15" s="841">
        <f>IF(WWWW[[#This Row],['# People with access to soap]]&gt;WWWW[[#This Row],['# People with access to Sanity Pads]],WWWW[[#This Row],['# People with access to soap]],WWWW[[#This Row],['# People with access to Sanity Pads]])</f>
        <v>0</v>
      </c>
      <c r="CI15"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5" s="844">
        <f>IF(WWWW[[#This Row],[HRP3]]/WWWW[[#This Row],[Total PoP ]]&gt;100%,100%,WWWW[[#This Row],[HRP3]]/WWWW[[#This Row],[Total PoP ]])</f>
        <v>0</v>
      </c>
      <c r="CK15" s="840">
        <f>1-WWWW[[#This Row],[Hygiene Coverage%]]</f>
        <v>1</v>
      </c>
      <c r="CL15" s="836">
        <f>WWWW[[#This Row],['# people reached by regular dedicated hygiene promotion_5]]/WWWW[[#This Row],[Total PoP ]]</f>
        <v>0</v>
      </c>
      <c r="CM15" s="840">
        <f>IF(WWWW[[#This Row],['#_of_affected_households_receiving_a_sufficient_quantity_of_soap]]/WWWW[[#This Row],[Total HH]]&gt;1,1,WWWW[[#This Row],['#_of_affected_households_receiving_a_sufficient_quantity_of_soap]]/WWWW[[#This Row],[Total HH]])</f>
        <v>0</v>
      </c>
      <c r="CN15" s="458" t="str">
        <f>IF(WWWW[[#This Row],['#_students at TLS_CFS]]="","No","Yes")</f>
        <v>No</v>
      </c>
      <c r="CO15" s="455">
        <f>WWWW[[#This Row],[%_of_affected_people_surveyed_who_report_feeling_informed_about_the_different_WASH_services_available_to_them]]</f>
        <v>0</v>
      </c>
      <c r="CP15"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5" s="503">
        <f>IF(WWWW[[#This Row],['#_PPL_accessed_water_in_TLS]]&gt;WWWW[[#This Row],['# students access to functioning school latrines_HRP5]],WWWW[[#This Row],['#_PPL_accessed_water_in_TLS]],WWWW[[#This Row],['# students access to functioning school latrines_HRP5]])</f>
        <v>400</v>
      </c>
      <c r="CR15" s="503">
        <f>IF(WWWW[[#This Row],['#_PPL_accessed_water_in_THF]]&gt;WWWW[[#This Row],['# people access to functioning latrines in THF_HRP6]],WWWW[[#This Row],['#_PPL_accessed_water_in_THF]],WWWW[[#This Row],['# people access to functioning latrines in THF_HRP6]])</f>
        <v>0</v>
      </c>
      <c r="CS15" s="832" t="str">
        <f>VLOOKUP(WWWW[[#This Row],[Site Name]],SiteDB6[[Site Name]:[CCCM Management]],6,FALSE)</f>
        <v>Yes</v>
      </c>
      <c r="CT15" s="832">
        <f>VLOOKUP(WWWW[[#This Row],[Site Name]],SiteDB6[[Site Name]:[CCCM Focal Agency]],7,FALSE)</f>
        <v>0</v>
      </c>
      <c r="CU15" s="832" t="str">
        <f>VLOOKUP(WWWW[[#This Row],[Site Name]],SiteDB6[[Site Name]:[Location Type 1]],9,FALSE)</f>
        <v>Camp</v>
      </c>
      <c r="CV15" s="832" t="str">
        <f>VLOOKUP(WWWW[[#This Row],[Site Name]],SiteDB6[[Site Name]:[Type of Accommodation]],10,FALSE)</f>
        <v>Planned Camp</v>
      </c>
      <c r="CW15" s="832" t="str">
        <f>VLOOKUP(WWWW[[#This Row],[Site Name]],SiteDB6[[Site Name]:[Ethnic or GCA/NGCA]],11,FALSE)</f>
        <v>Muslim</v>
      </c>
      <c r="CX15" s="832">
        <f>VLOOKUP(WWWW[[#This Row],[Site Name]],SiteDB6[[Site Name]:[Lat]],12,FALSE)</f>
        <v>20.185917</v>
      </c>
      <c r="CY15" s="832">
        <f>VLOOKUP(WWWW[[#This Row],[Site Name]],SiteDB6[[Site Name]:[Long]],13,FALSE)</f>
        <v>92.831000000000003</v>
      </c>
      <c r="CZ15" s="832" t="str">
        <f>VLOOKUP(WWWW[[#This Row],[Site Name]],SiteDB6[[Site Name]:[Pcode]],3,FALSE)</f>
        <v>MMR012CMP092</v>
      </c>
      <c r="DA15" s="845" t="str">
        <f t="shared" si="0"/>
        <v>Covered</v>
      </c>
      <c r="DB15" s="480">
        <f>VLOOKUP(WWWW[[#This Row],[Site Name]],SiteDB6[[Site Name]:[PWD_Total]],22,FALSE)</f>
        <v>88</v>
      </c>
      <c r="DC15" s="480">
        <f>VLOOKUP(WWWW[[#This Row],[Site Name]],SiteDB6[[Site Name]:[PWD_Total]],23,FALSE)</f>
        <v>397</v>
      </c>
      <c r="DD15" s="480">
        <f>WWWW[[#This Row],['# of Male_People with disabilities]]+WWWW[[#This Row],['# of Female_People with disabilities]]</f>
        <v>485</v>
      </c>
      <c r="DE15" s="832"/>
      <c r="DF15" s="845"/>
      <c r="DG15" s="845"/>
      <c r="DH15" s="845"/>
      <c r="DI15" s="845">
        <f>VLOOKUP(WWWW[[#This Row],[Site Name]],SiteDB6[[Site Name]:[Pop
(CCCM as of Autust 2021)]],16,FALSE)</f>
        <v>657</v>
      </c>
      <c r="DJ15" s="845">
        <f>VLOOKUP(WWWW[[#This Row],[Site Name]],SiteDB6[[Site Name]:[Pop
(CCCM as of Autust 2021)]],17,FALSE)</f>
        <v>3906</v>
      </c>
    </row>
    <row r="16" spans="1:114">
      <c r="A16" s="830" t="s">
        <v>3156</v>
      </c>
      <c r="B16" s="830" t="s">
        <v>286</v>
      </c>
      <c r="C16" s="831" t="s">
        <v>286</v>
      </c>
      <c r="D16" s="831" t="s">
        <v>233</v>
      </c>
      <c r="E16" s="831" t="s">
        <v>293</v>
      </c>
      <c r="F16" s="831" t="s">
        <v>294</v>
      </c>
      <c r="G16" s="810" t="s">
        <v>43</v>
      </c>
      <c r="H16" s="831" t="s">
        <v>2273</v>
      </c>
      <c r="I16" s="833">
        <v>400</v>
      </c>
      <c r="J16" s="833">
        <v>2446</v>
      </c>
      <c r="K16" s="687">
        <f>WWWW[[#This Row],[Total PoP ]]/WWWW[[#This Row],[Total HH]]</f>
        <v>6.1150000000000002</v>
      </c>
      <c r="L16" s="834">
        <v>44348</v>
      </c>
      <c r="M16" s="835">
        <v>44712</v>
      </c>
      <c r="N16" s="833"/>
      <c r="O16" s="503">
        <v>41</v>
      </c>
      <c r="P16" s="503">
        <v>42</v>
      </c>
      <c r="Q16" s="503"/>
      <c r="R16" s="503"/>
      <c r="S16" s="833"/>
      <c r="T16" s="833"/>
      <c r="U16" s="833"/>
      <c r="V16" s="836"/>
      <c r="W16" s="503"/>
      <c r="X16" s="453"/>
      <c r="Y16" s="503"/>
      <c r="Z16" s="503"/>
      <c r="AA16" s="503"/>
      <c r="AB16" s="837"/>
      <c r="AC16" s="503">
        <v>150</v>
      </c>
      <c r="AD16" s="503">
        <v>150</v>
      </c>
      <c r="AE16" s="503"/>
      <c r="AF16" s="503"/>
      <c r="AG16" s="836"/>
      <c r="AH16" s="836"/>
      <c r="AI16" s="836"/>
      <c r="AJ16" s="833">
        <v>3</v>
      </c>
      <c r="AK16" s="833">
        <v>9</v>
      </c>
      <c r="AL16" s="833"/>
      <c r="AM16" s="503"/>
      <c r="AN16" s="833" t="s">
        <v>41</v>
      </c>
      <c r="AO16" s="838"/>
      <c r="AP16" s="833"/>
      <c r="AQ16" s="833"/>
      <c r="AR16" s="833"/>
      <c r="AS16" s="833"/>
      <c r="AT16" s="833"/>
      <c r="AU16" s="833"/>
      <c r="AV16" s="453"/>
      <c r="AW16" s="836"/>
      <c r="AX16" s="454"/>
      <c r="AY16" s="839"/>
      <c r="AZ16" s="453"/>
      <c r="BA16" s="453"/>
      <c r="BB16" s="453"/>
      <c r="BC16" s="453"/>
      <c r="BD16" s="453"/>
      <c r="BE16" s="503"/>
      <c r="BF16" s="503"/>
      <c r="BG16" s="503"/>
      <c r="BH16" s="857"/>
      <c r="BI16" s="857"/>
      <c r="BJ16" s="854"/>
      <c r="BK16" s="503"/>
      <c r="BL16" s="840" t="str">
        <f>IF(WWWW[[#This Row],['#_Water samples_Tested_at_water_source]]="","no test","Tested")</f>
        <v>no test</v>
      </c>
      <c r="BM16" s="840" t="str">
        <f>IF(WWWW[[#This Row],['#_Water samples_Tested_at_HH]]="","no test","Tested")</f>
        <v>no test</v>
      </c>
      <c r="BN16" s="841" t="str">
        <f>IF(AND(WWWW[[#This Row],[Water_testing_at source]]="no test",WWWW[[#This Row],[Water_testing_at HH]]="no test"),"No Test","Tested")</f>
        <v>No Test</v>
      </c>
      <c r="BO16"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6" s="842">
        <f>WWWW[[#This Row],[% HRP1]]*WWWW[[#This Row],[Total PoP ]]</f>
        <v>2446</v>
      </c>
      <c r="BQ16" s="843">
        <f>WWWW[[#This Row],[HRP1]]/500</f>
        <v>4.8920000000000003</v>
      </c>
      <c r="BR16" s="844">
        <f>1-WWWW[[#This Row],[% HRP1]]</f>
        <v>0</v>
      </c>
      <c r="BS16" s="843">
        <f>WWWW[[#This Row],[%equitable and continuous access to sufficient quantity of safe drinking and domestic water''s GAP]]*WWWW[[#This Row],[Total PoP ]]</f>
        <v>0</v>
      </c>
      <c r="BT16" s="454">
        <f>ROUND(IF(WWWW[[#This Row],[Total PoP ]]&lt;500,1,WWWW[[#This Row],[Total PoP ]]/500),0)</f>
        <v>5</v>
      </c>
      <c r="BU16" s="841">
        <f>IF(WWWW[[#This Row],[Total required water points]]-WWWW[[#This Row],['#Water points coverage]]&lt;0,0,WWWW[[#This Row],[Total required water points]]-WWWW[[#This Row],['#Water points coverage]])</f>
        <v>0.10799999999999965</v>
      </c>
      <c r="BV16" s="455">
        <f>WWWW[[#This Row],[HRP2]]/WWWW[[#This Row],[Total PoP ]]</f>
        <v>1</v>
      </c>
      <c r="BW16"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2446</v>
      </c>
      <c r="BX16" s="458">
        <f>IF(WWWW[[#This Row],['#_Functional_adult_latrines]]="","",WWWW[[#This Row],[Total PoP ]]/WWWW[[#This Row],['#_Functional_adult_latrines]])</f>
        <v>16.306666666666668</v>
      </c>
      <c r="BY16" s="841">
        <f>WWWW[[#This Row],['#_of_latrines_in_TLS/CFS]]*50</f>
        <v>0</v>
      </c>
      <c r="BZ16" s="454">
        <f>IF(WWWW[[#This Row],['#_of_latrines_in_THF]]="",0,WWWW[[#This Row],['#_of_latrines_in_THF]]*50)</f>
        <v>0</v>
      </c>
      <c r="CA16" s="841">
        <f>ROUND(IF(WWWW[[#This Row],[Location Type 1]]="camp",WWWW[[#This Row],[Total PoP ]]/20),0)</f>
        <v>122</v>
      </c>
      <c r="CB16" s="841">
        <f>IF(WWWW[[#This Row],[Total required Latrines]]-WWWW[[#This Row],['#_Existing_latrines]]&lt;0,0,WWWW[[#This Row],[Total required Latrines]]-WWWW[[#This Row],['#_Existing_latrines]])</f>
        <v>0</v>
      </c>
      <c r="CC16" s="844">
        <f>1-WWWW[[#This Row],[% HRP2]]</f>
        <v>0</v>
      </c>
      <c r="CD16" s="840">
        <f>IF(WWWW[[#This Row],['#_Existing_latrines]]="","NA",(WWWW[[#This Row],['#_Existing_latrines]]-WWWW[[#This Row],['#_Functional_adult_latrines]])/WWWW[[#This Row],['#_Existing_latrines]])</f>
        <v>0</v>
      </c>
      <c r="CE16"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6"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6" s="841">
        <f>IF(WWWW[[#This Row],['#_of_affected_women_and_girls_receiving_a_sufficient_quantity_of_sanitary_pads]]&gt;WWWW[[#This Row],[Total PoP ]],WWWW[[#This Row],[Total PoP ]],WWWW[[#This Row],['#_of_affected_women_and_girls_receiving_a_sufficient_quantity_of_sanitary_pads]])</f>
        <v>0</v>
      </c>
      <c r="CH16" s="841">
        <f>IF(WWWW[[#This Row],['# People with access to soap]]&gt;WWWW[[#This Row],['# People with access to Sanity Pads]],WWWW[[#This Row],['# People with access to soap]],WWWW[[#This Row],['# People with access to Sanity Pads]])</f>
        <v>0</v>
      </c>
      <c r="CI16"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6" s="844">
        <f>IF(WWWW[[#This Row],[HRP3]]/WWWW[[#This Row],[Total PoP ]]&gt;100%,100%,WWWW[[#This Row],[HRP3]]/WWWW[[#This Row],[Total PoP ]])</f>
        <v>0</v>
      </c>
      <c r="CK16" s="840">
        <f>1-WWWW[[#This Row],[Hygiene Coverage%]]</f>
        <v>1</v>
      </c>
      <c r="CL16" s="836">
        <f>WWWW[[#This Row],['# people reached by regular dedicated hygiene promotion_5]]/WWWW[[#This Row],[Total PoP ]]</f>
        <v>0</v>
      </c>
      <c r="CM16" s="840">
        <f>IF(WWWW[[#This Row],['#_of_affected_households_receiving_a_sufficient_quantity_of_soap]]/WWWW[[#This Row],[Total HH]]&gt;1,1,WWWW[[#This Row],['#_of_affected_households_receiving_a_sufficient_quantity_of_soap]]/WWWW[[#This Row],[Total HH]])</f>
        <v>0</v>
      </c>
      <c r="CN16" s="458" t="str">
        <f>IF(WWWW[[#This Row],['#_students at TLS_CFS]]="","No","Yes")</f>
        <v>No</v>
      </c>
      <c r="CO16" s="455">
        <f>WWWW[[#This Row],[%_of_affected_people_surveyed_who_report_feeling_informed_about_the_different_WASH_services_available_to_them]]</f>
        <v>0</v>
      </c>
      <c r="CP16"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6" s="503">
        <f>IF(WWWW[[#This Row],['#_PPL_accessed_water_in_TLS]]&gt;WWWW[[#This Row],['# students access to functioning school latrines_HRP5]],WWWW[[#This Row],['#_PPL_accessed_water_in_TLS]],WWWW[[#This Row],['# students access to functioning school latrines_HRP5]])</f>
        <v>0</v>
      </c>
      <c r="CR16" s="503">
        <f>IF(WWWW[[#This Row],['#_PPL_accessed_water_in_THF]]&gt;WWWW[[#This Row],['# people access to functioning latrines in THF_HRP6]],WWWW[[#This Row],['#_PPL_accessed_water_in_THF]],WWWW[[#This Row],['# people access to functioning latrines in THF_HRP6]])</f>
        <v>0</v>
      </c>
      <c r="CS16" s="832">
        <f>VLOOKUP(WWWW[[#This Row],[Site Name]],SiteDB6[[Site Name]:[CCCM Management]],6,FALSE)</f>
        <v>0</v>
      </c>
      <c r="CT16" s="832">
        <f>VLOOKUP(WWWW[[#This Row],[Site Name]],SiteDB6[[Site Name]:[CCCM Focal Agency]],7,FALSE)</f>
        <v>0</v>
      </c>
      <c r="CU16" s="832" t="str">
        <f>VLOOKUP(WWWW[[#This Row],[Site Name]],SiteDB6[[Site Name]:[Location Type 1]],9,FALSE)</f>
        <v>Camp</v>
      </c>
      <c r="CV16" s="832" t="str">
        <f>VLOOKUP(WWWW[[#This Row],[Site Name]],SiteDB6[[Site Name]:[Type of Accommodation]],10,FALSE)</f>
        <v>Planned Camp</v>
      </c>
      <c r="CW16" s="832" t="str">
        <f>VLOOKUP(WWWW[[#This Row],[Site Name]],SiteDB6[[Site Name]:[Ethnic or GCA/NGCA]],11,FALSE)</f>
        <v>Muslim</v>
      </c>
      <c r="CX16" s="832">
        <f>VLOOKUP(WWWW[[#This Row],[Site Name]],SiteDB6[[Site Name]:[Lat]],12,FALSE)</f>
        <v>20.207284999999999</v>
      </c>
      <c r="CY16" s="832">
        <f>VLOOKUP(WWWW[[#This Row],[Site Name]],SiteDB6[[Site Name]:[Long]],13,FALSE)</f>
        <v>92.788177000000005</v>
      </c>
      <c r="CZ16" s="832" t="str">
        <f>VLOOKUP(WWWW[[#This Row],[Site Name]],SiteDB6[[Site Name]:[Pcode]],3,FALSE)</f>
        <v>MMR012CMP045</v>
      </c>
      <c r="DA16" s="845" t="str">
        <f t="shared" si="0"/>
        <v>Covered</v>
      </c>
      <c r="DB16" s="480">
        <f>VLOOKUP(WWWW[[#This Row],[Site Name]],SiteDB6[[Site Name]:[PWD_Total]],22,FALSE)</f>
        <v>0</v>
      </c>
      <c r="DC16" s="480">
        <f>VLOOKUP(WWWW[[#This Row],[Site Name]],SiteDB6[[Site Name]:[PWD_Total]],23,FALSE)</f>
        <v>0</v>
      </c>
      <c r="DD16" s="480">
        <f>WWWW[[#This Row],['# of Male_People with disabilities]]+WWWW[[#This Row],['# of Female_People with disabilities]]</f>
        <v>0</v>
      </c>
      <c r="DE16" s="832"/>
      <c r="DF16" s="845"/>
      <c r="DG16" s="845"/>
      <c r="DH16" s="845"/>
      <c r="DI16" s="845">
        <f>VLOOKUP(WWWW[[#This Row],[Site Name]],SiteDB6[[Site Name]:[Pop
(CCCM as of Autust 2021)]],16,FALSE)</f>
        <v>0</v>
      </c>
      <c r="DJ16" s="845">
        <f>VLOOKUP(WWWW[[#This Row],[Site Name]],SiteDB6[[Site Name]:[Pop
(CCCM as of Autust 2021)]],17,FALSE)</f>
        <v>0</v>
      </c>
    </row>
    <row r="17" spans="1:114">
      <c r="A17" s="830" t="s">
        <v>3156</v>
      </c>
      <c r="B17" s="830" t="s">
        <v>2623</v>
      </c>
      <c r="C17" s="831" t="s">
        <v>2269</v>
      </c>
      <c r="D17" s="831" t="s">
        <v>40</v>
      </c>
      <c r="E17" s="831" t="s">
        <v>293</v>
      </c>
      <c r="F17" s="831" t="s">
        <v>294</v>
      </c>
      <c r="G17" s="810" t="s">
        <v>43</v>
      </c>
      <c r="H17" s="831" t="s">
        <v>425</v>
      </c>
      <c r="I17" s="833">
        <v>1013</v>
      </c>
      <c r="J17" s="833">
        <v>5950</v>
      </c>
      <c r="K17" s="687">
        <f>WWWW[[#This Row],[Total PoP ]]/WWWW[[#This Row],[Total HH]]</f>
        <v>5.8736426456071076</v>
      </c>
      <c r="L17" s="834">
        <v>44197</v>
      </c>
      <c r="M17" s="835">
        <v>44592</v>
      </c>
      <c r="N17" s="833"/>
      <c r="O17" s="503">
        <v>59</v>
      </c>
      <c r="P17" s="833">
        <v>68</v>
      </c>
      <c r="Q17" s="503"/>
      <c r="R17" s="503"/>
      <c r="S17" s="833"/>
      <c r="T17" s="833"/>
      <c r="U17" s="833"/>
      <c r="V17" s="836"/>
      <c r="W17" s="833"/>
      <c r="X17" s="836"/>
      <c r="Y17" s="833"/>
      <c r="Z17" s="503"/>
      <c r="AA17" s="503"/>
      <c r="AB17" s="837"/>
      <c r="AC17" s="833">
        <v>242</v>
      </c>
      <c r="AD17" s="833">
        <v>339</v>
      </c>
      <c r="AE17" s="833"/>
      <c r="AF17" s="833"/>
      <c r="AG17" s="836"/>
      <c r="AH17" s="836"/>
      <c r="AI17" s="836"/>
      <c r="AJ17" s="833">
        <v>4</v>
      </c>
      <c r="AK17" s="833">
        <v>38</v>
      </c>
      <c r="AL17" s="833">
        <v>21</v>
      </c>
      <c r="AM17" s="503"/>
      <c r="AN17" s="833" t="s">
        <v>41</v>
      </c>
      <c r="AO17" s="838"/>
      <c r="AP17" s="833"/>
      <c r="AQ17" s="833"/>
      <c r="AR17" s="833"/>
      <c r="AS17" s="833"/>
      <c r="AT17" s="833"/>
      <c r="AU17" s="833"/>
      <c r="AV17" s="453"/>
      <c r="AW17" s="836"/>
      <c r="AX17" s="454">
        <v>3</v>
      </c>
      <c r="AY17" s="846"/>
      <c r="AZ17" s="453"/>
      <c r="BA17" s="453"/>
      <c r="BB17" s="453"/>
      <c r="BC17" s="453"/>
      <c r="BD17" s="453"/>
      <c r="BE17" s="503"/>
      <c r="BF17" s="503"/>
      <c r="BG17" s="503"/>
      <c r="BH17" s="857"/>
      <c r="BI17" s="857"/>
      <c r="BJ17" s="854"/>
      <c r="BK17" s="503"/>
      <c r="BL17" s="840" t="str">
        <f>IF(WWWW[[#This Row],['#_Water samples_Tested_at_water_source]]="","no test","Tested")</f>
        <v>no test</v>
      </c>
      <c r="BM17" s="840" t="str">
        <f>IF(WWWW[[#This Row],['#_Water samples_Tested_at_HH]]="","no test","Tested")</f>
        <v>no test</v>
      </c>
      <c r="BN17" s="841" t="str">
        <f>IF(AND(WWWW[[#This Row],[Water_testing_at source]]="no test",WWWW[[#This Row],[Water_testing_at HH]]="no test"),"No Test","Tested")</f>
        <v>No Test</v>
      </c>
      <c r="BO17"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7" s="842">
        <f>WWWW[[#This Row],[% HRP1]]*WWWW[[#This Row],[Total PoP ]]</f>
        <v>5950</v>
      </c>
      <c r="BQ17" s="843">
        <f>WWWW[[#This Row],[HRP1]]/500</f>
        <v>11.9</v>
      </c>
      <c r="BR17" s="844">
        <f>1-WWWW[[#This Row],[% HRP1]]</f>
        <v>0</v>
      </c>
      <c r="BS17" s="843">
        <f>WWWW[[#This Row],[%equitable and continuous access to sufficient quantity of safe drinking and domestic water''s GAP]]*WWWW[[#This Row],[Total PoP ]]</f>
        <v>0</v>
      </c>
      <c r="BT17" s="454">
        <f>ROUND(IF(WWWW[[#This Row],[Total PoP ]]&lt;500,1,WWWW[[#This Row],[Total PoP ]]/500),0)</f>
        <v>12</v>
      </c>
      <c r="BU17" s="841">
        <f>IF(WWWW[[#This Row],[Total required water points]]-WWWW[[#This Row],['#Water points coverage]]&lt;0,0,WWWW[[#This Row],[Total required water points]]-WWWW[[#This Row],['#Water points coverage]])</f>
        <v>9.9999999999999645E-2</v>
      </c>
      <c r="BV17" s="455">
        <f>WWWW[[#This Row],[HRP2]]/WWWW[[#This Row],[Total PoP ]]</f>
        <v>0.83327731092436974</v>
      </c>
      <c r="BW17"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4958</v>
      </c>
      <c r="BX17" s="458">
        <f>IF(WWWW[[#This Row],['#_Functional_adult_latrines]]="","",WWWW[[#This Row],[Total PoP ]]/WWWW[[#This Row],['#_Functional_adult_latrines]])</f>
        <v>24.58677685950413</v>
      </c>
      <c r="BY17" s="841">
        <f>WWWW[[#This Row],['#_of_latrines_in_TLS/CFS]]*50</f>
        <v>1050</v>
      </c>
      <c r="BZ17" s="454">
        <f>IF(WWWW[[#This Row],['#_of_latrines_in_THF]]="",0,WWWW[[#This Row],['#_of_latrines_in_THF]]*50)</f>
        <v>0</v>
      </c>
      <c r="CA17" s="841">
        <f>ROUND(IF(WWWW[[#This Row],[Location Type 1]]="camp",WWWW[[#This Row],[Total PoP ]]/20),0)</f>
        <v>298</v>
      </c>
      <c r="CB17" s="841">
        <f>IF(WWWW[[#This Row],[Total required Latrines]]-WWWW[[#This Row],['#_Existing_latrines]]&lt;0,0,WWWW[[#This Row],[Total required Latrines]]-WWWW[[#This Row],['#_Existing_latrines]])</f>
        <v>0</v>
      </c>
      <c r="CC17" s="844">
        <f>1-WWWW[[#This Row],[% HRP2]]</f>
        <v>0.16672268907563026</v>
      </c>
      <c r="CD17" s="840">
        <f>IF(WWWW[[#This Row],['#_Existing_latrines]]="","NA",(WWWW[[#This Row],['#_Existing_latrines]]-WWWW[[#This Row],['#_Functional_adult_latrines]])/WWWW[[#This Row],['#_Existing_latrines]])</f>
        <v>0.28613569321533922</v>
      </c>
      <c r="CE17"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7"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7" s="841">
        <f>IF(WWWW[[#This Row],['#_of_affected_women_and_girls_receiving_a_sufficient_quantity_of_sanitary_pads]]&gt;WWWW[[#This Row],[Total PoP ]],WWWW[[#This Row],[Total PoP ]],WWWW[[#This Row],['#_of_affected_women_and_girls_receiving_a_sufficient_quantity_of_sanitary_pads]])</f>
        <v>0</v>
      </c>
      <c r="CH17" s="841">
        <f>IF(WWWW[[#This Row],['# People with access to soap]]&gt;WWWW[[#This Row],['# People with access to Sanity Pads]],WWWW[[#This Row],['# People with access to soap]],WWWW[[#This Row],['# People with access to Sanity Pads]])</f>
        <v>0</v>
      </c>
      <c r="CI17"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7" s="844">
        <f>IF(WWWW[[#This Row],[HRP3]]/WWWW[[#This Row],[Total PoP ]]&gt;100%,100%,WWWW[[#This Row],[HRP3]]/WWWW[[#This Row],[Total PoP ]])</f>
        <v>0</v>
      </c>
      <c r="CK17" s="840">
        <f>1-WWWW[[#This Row],[Hygiene Coverage%]]</f>
        <v>1</v>
      </c>
      <c r="CL17" s="836">
        <f>WWWW[[#This Row],['# people reached by regular dedicated hygiene promotion_5]]/WWWW[[#This Row],[Total PoP ]]</f>
        <v>0</v>
      </c>
      <c r="CM17" s="840">
        <f>IF(WWWW[[#This Row],['#_of_affected_households_receiving_a_sufficient_quantity_of_soap]]/WWWW[[#This Row],[Total HH]]&gt;1,1,WWWW[[#This Row],['#_of_affected_households_receiving_a_sufficient_quantity_of_soap]]/WWWW[[#This Row],[Total HH]])</f>
        <v>0</v>
      </c>
      <c r="CN17" s="458" t="str">
        <f>IF(WWWW[[#This Row],['#_students at TLS_CFS]]="","No","Yes")</f>
        <v>No</v>
      </c>
      <c r="CO17" s="455">
        <f>WWWW[[#This Row],[%_of_affected_people_surveyed_who_report_feeling_informed_about_the_different_WASH_services_available_to_them]]</f>
        <v>0</v>
      </c>
      <c r="CP17"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7" s="503">
        <f>IF(WWWW[[#This Row],['#_PPL_accessed_water_in_TLS]]&gt;WWWW[[#This Row],['# students access to functioning school latrines_HRP5]],WWWW[[#This Row],['#_PPL_accessed_water_in_TLS]],WWWW[[#This Row],['# students access to functioning school latrines_HRP5]])</f>
        <v>1050</v>
      </c>
      <c r="CR17" s="503">
        <f>IF(WWWW[[#This Row],['#_PPL_accessed_water_in_THF]]&gt;WWWW[[#This Row],['# people access to functioning latrines in THF_HRP6]],WWWW[[#This Row],['#_PPL_accessed_water_in_THF]],WWWW[[#This Row],['# people access to functioning latrines in THF_HRP6]])</f>
        <v>0</v>
      </c>
      <c r="CS17" s="832" t="str">
        <f>VLOOKUP(WWWW[[#This Row],[Site Name]],SiteDB6[[Site Name]:[CCCM Management]],6,FALSE)</f>
        <v>Yes</v>
      </c>
      <c r="CT17" s="832">
        <f>VLOOKUP(WWWW[[#This Row],[Site Name]],SiteDB6[[Site Name]:[CCCM Focal Agency]],7,FALSE)</f>
        <v>0</v>
      </c>
      <c r="CU17" s="832" t="str">
        <f>VLOOKUP(WWWW[[#This Row],[Site Name]],SiteDB6[[Site Name]:[Location Type 1]],9,FALSE)</f>
        <v>Camp</v>
      </c>
      <c r="CV17" s="832" t="str">
        <f>VLOOKUP(WWWW[[#This Row],[Site Name]],SiteDB6[[Site Name]:[Type of Accommodation]],10,FALSE)</f>
        <v>Planned Camp</v>
      </c>
      <c r="CW17" s="832" t="str">
        <f>VLOOKUP(WWWW[[#This Row],[Site Name]],SiteDB6[[Site Name]:[Ethnic or GCA/NGCA]],11,FALSE)</f>
        <v>Muslim</v>
      </c>
      <c r="CX17" s="832">
        <f>VLOOKUP(WWWW[[#This Row],[Site Name]],SiteDB6[[Site Name]:[Lat]],12,FALSE)</f>
        <v>20.179939999999998</v>
      </c>
      <c r="CY17" s="832">
        <f>VLOOKUP(WWWW[[#This Row],[Site Name]],SiteDB6[[Site Name]:[Long]],13,FALSE)</f>
        <v>92.831879000000001</v>
      </c>
      <c r="CZ17" s="832" t="str">
        <f>VLOOKUP(WWWW[[#This Row],[Site Name]],SiteDB6[[Site Name]:[Pcode]],3,FALSE)</f>
        <v>MMR012CMP048</v>
      </c>
      <c r="DA17" s="845" t="str">
        <f t="shared" si="0"/>
        <v>Covered</v>
      </c>
      <c r="DB17" s="480">
        <f>VLOOKUP(WWWW[[#This Row],[Site Name]],SiteDB6[[Site Name]:[PWD_Total]],22,FALSE)</f>
        <v>250</v>
      </c>
      <c r="DC17" s="480">
        <f>VLOOKUP(WWWW[[#This Row],[Site Name]],SiteDB6[[Site Name]:[PWD_Total]],23,FALSE)</f>
        <v>699</v>
      </c>
      <c r="DD17" s="480">
        <f>WWWW[[#This Row],['# of Male_People with disabilities]]+WWWW[[#This Row],['# of Female_People with disabilities]]</f>
        <v>949</v>
      </c>
      <c r="DE17" s="832"/>
      <c r="DF17" s="845"/>
      <c r="DG17" s="845"/>
      <c r="DH17" s="845"/>
      <c r="DI17" s="845">
        <f>VLOOKUP(WWWW[[#This Row],[Site Name]],SiteDB6[[Site Name]:[Pop
(CCCM as of Autust 2021)]],16,FALSE)</f>
        <v>1019</v>
      </c>
      <c r="DJ17" s="845">
        <f>VLOOKUP(WWWW[[#This Row],[Site Name]],SiteDB6[[Site Name]:[Pop
(CCCM as of Autust 2021)]],17,FALSE)</f>
        <v>6906</v>
      </c>
    </row>
    <row r="18" spans="1:114">
      <c r="A18" s="830" t="s">
        <v>3156</v>
      </c>
      <c r="B18" s="863" t="s">
        <v>397</v>
      </c>
      <c r="C18" s="863" t="s">
        <v>397</v>
      </c>
      <c r="D18" s="831" t="s">
        <v>3009</v>
      </c>
      <c r="E18" s="863" t="s">
        <v>293</v>
      </c>
      <c r="F18" s="863" t="s">
        <v>398</v>
      </c>
      <c r="G18" s="810" t="s">
        <v>43</v>
      </c>
      <c r="H18" s="863" t="s">
        <v>399</v>
      </c>
      <c r="I18" s="833">
        <v>716</v>
      </c>
      <c r="J18" s="833">
        <v>2920</v>
      </c>
      <c r="K18" s="687">
        <f>WWWW[[#This Row],[Total PoP ]]/WWWW[[#This Row],[Total HH]]</f>
        <v>4.0782122905027931</v>
      </c>
      <c r="L18" s="834">
        <v>43952</v>
      </c>
      <c r="M18" s="835">
        <v>44316</v>
      </c>
      <c r="N18" s="833"/>
      <c r="O18" s="503"/>
      <c r="P18" s="833"/>
      <c r="Q18" s="503">
        <v>6</v>
      </c>
      <c r="R18" s="503">
        <v>6</v>
      </c>
      <c r="S18" s="833"/>
      <c r="T18" s="833"/>
      <c r="U18" s="833"/>
      <c r="V18" s="836"/>
      <c r="W18" s="833"/>
      <c r="X18" s="836"/>
      <c r="Y18" s="833"/>
      <c r="Z18" s="503"/>
      <c r="AA18" s="503"/>
      <c r="AB18" s="837"/>
      <c r="AC18" s="833">
        <v>642</v>
      </c>
      <c r="AD18" s="833">
        <v>642</v>
      </c>
      <c r="AE18" s="833"/>
      <c r="AF18" s="833"/>
      <c r="AG18" s="836"/>
      <c r="AH18" s="836"/>
      <c r="AI18" s="836"/>
      <c r="AJ18" s="833">
        <v>6</v>
      </c>
      <c r="AK18" s="833"/>
      <c r="AL18" s="833">
        <v>4</v>
      </c>
      <c r="AM18" s="503">
        <v>1</v>
      </c>
      <c r="AN18" s="833" t="s">
        <v>125</v>
      </c>
      <c r="AO18" s="838"/>
      <c r="AP18" s="833"/>
      <c r="AQ18" s="833"/>
      <c r="AR18" s="833"/>
      <c r="AS18" s="833"/>
      <c r="AT18" s="833"/>
      <c r="AU18" s="833"/>
      <c r="AV18" s="453"/>
      <c r="AW18" s="836"/>
      <c r="AX18" s="454"/>
      <c r="AY18" s="839"/>
      <c r="AZ18" s="453"/>
      <c r="BA18" s="453"/>
      <c r="BB18" s="453"/>
      <c r="BC18" s="453"/>
      <c r="BD18" s="453"/>
      <c r="BE18" s="503"/>
      <c r="BF18" s="503"/>
      <c r="BG18" s="503"/>
      <c r="BH18" s="857"/>
      <c r="BI18" s="857"/>
      <c r="BJ18" s="854"/>
      <c r="BK18" s="503"/>
      <c r="BL18" s="840" t="str">
        <f>IF(WWWW[[#This Row],['#_Water samples_Tested_at_water_source]]="","no test","Tested")</f>
        <v>no test</v>
      </c>
      <c r="BM18" s="840" t="str">
        <f>IF(WWWW[[#This Row],['#_Water samples_Tested_at_HH]]="","no test","Tested")</f>
        <v>no test</v>
      </c>
      <c r="BN18" s="841" t="str">
        <f>IF(AND(WWWW[[#This Row],[Water_testing_at source]]="no test",WWWW[[#This Row],[Water_testing_at HH]]="no test"),"No Test","Tested")</f>
        <v>No Test</v>
      </c>
      <c r="BO18"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0</v>
      </c>
      <c r="BP18" s="842">
        <f>WWWW[[#This Row],[% HRP1]]*WWWW[[#This Row],[Total PoP ]]</f>
        <v>0</v>
      </c>
      <c r="BQ18" s="843">
        <f>WWWW[[#This Row],[HRP1]]/500</f>
        <v>0</v>
      </c>
      <c r="BR18" s="844">
        <f>1-WWWW[[#This Row],[% HRP1]]</f>
        <v>1</v>
      </c>
      <c r="BS18" s="843">
        <f>WWWW[[#This Row],[%equitable and continuous access to sufficient quantity of safe drinking and domestic water''s GAP]]*WWWW[[#This Row],[Total PoP ]]</f>
        <v>2920</v>
      </c>
      <c r="BT18" s="454">
        <f>ROUND(IF(WWWW[[#This Row],[Total PoP ]]&lt;500,1,WWWW[[#This Row],[Total PoP ]]/500),0)</f>
        <v>6</v>
      </c>
      <c r="BU18" s="841">
        <f>IF(WWWW[[#This Row],[Total required water points]]-WWWW[[#This Row],['#Water points coverage]]&lt;0,0,WWWW[[#This Row],[Total required water points]]-WWWW[[#This Row],['#Water points coverage]])</f>
        <v>6</v>
      </c>
      <c r="BV18" s="455">
        <f>WWWW[[#This Row],[HRP2]]/WWWW[[#This Row],[Total PoP ]]</f>
        <v>1</v>
      </c>
      <c r="BW18"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18" s="458">
        <f>IF(WWWW[[#This Row],['#_Functional_adult_latrines]]="","",WWWW[[#This Row],[Total PoP ]]/WWWW[[#This Row],['#_Functional_adult_latrines]])</f>
        <v>4.5482866043613708</v>
      </c>
      <c r="BY18" s="841">
        <f>WWWW[[#This Row],['#_of_latrines_in_TLS/CFS]]*50</f>
        <v>200</v>
      </c>
      <c r="BZ18" s="454">
        <f>IF(WWWW[[#This Row],['#_of_latrines_in_THF]]="",0,WWWW[[#This Row],['#_of_latrines_in_THF]]*50)</f>
        <v>50</v>
      </c>
      <c r="CA18" s="841">
        <f>ROUND(IF(WWWW[[#This Row],[Location Type 1]]="camp",WWWW[[#This Row],[Total PoP ]]/20),0)</f>
        <v>146</v>
      </c>
      <c r="CB18" s="841">
        <f>IF(WWWW[[#This Row],[Total required Latrines]]-WWWW[[#This Row],['#_Existing_latrines]]&lt;0,0,WWWW[[#This Row],[Total required Latrines]]-WWWW[[#This Row],['#_Existing_latrines]])</f>
        <v>0</v>
      </c>
      <c r="CC18" s="844">
        <f>1-WWWW[[#This Row],[% HRP2]]</f>
        <v>0</v>
      </c>
      <c r="CD18" s="840">
        <f>IF(WWWW[[#This Row],['#_Existing_latrines]]="","NA",(WWWW[[#This Row],['#_Existing_latrines]]-WWWW[[#This Row],['#_Functional_adult_latrines]])/WWWW[[#This Row],['#_Existing_latrines]])</f>
        <v>0</v>
      </c>
      <c r="CE18"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8"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8" s="841">
        <f>IF(WWWW[[#This Row],['#_of_affected_women_and_girls_receiving_a_sufficient_quantity_of_sanitary_pads]]&gt;WWWW[[#This Row],[Total PoP ]],WWWW[[#This Row],[Total PoP ]],WWWW[[#This Row],['#_of_affected_women_and_girls_receiving_a_sufficient_quantity_of_sanitary_pads]])</f>
        <v>0</v>
      </c>
      <c r="CH18" s="841">
        <f>IF(WWWW[[#This Row],['# People with access to soap]]&gt;WWWW[[#This Row],['# People with access to Sanity Pads]],WWWW[[#This Row],['# People with access to soap]],WWWW[[#This Row],['# People with access to Sanity Pads]])</f>
        <v>0</v>
      </c>
      <c r="CI18"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8" s="844">
        <f>IF(WWWW[[#This Row],[HRP3]]/WWWW[[#This Row],[Total PoP ]]&gt;100%,100%,WWWW[[#This Row],[HRP3]]/WWWW[[#This Row],[Total PoP ]])</f>
        <v>0</v>
      </c>
      <c r="CK18" s="840">
        <f>1-WWWW[[#This Row],[Hygiene Coverage%]]</f>
        <v>1</v>
      </c>
      <c r="CL18" s="836">
        <f>WWWW[[#This Row],['# people reached by regular dedicated hygiene promotion_5]]/WWWW[[#This Row],[Total PoP ]]</f>
        <v>0</v>
      </c>
      <c r="CM18" s="840">
        <f>IF(WWWW[[#This Row],['#_of_affected_households_receiving_a_sufficient_quantity_of_soap]]/WWWW[[#This Row],[Total HH]]&gt;1,1,WWWW[[#This Row],['#_of_affected_households_receiving_a_sufficient_quantity_of_soap]]/WWWW[[#This Row],[Total HH]])</f>
        <v>0</v>
      </c>
      <c r="CN18" s="458" t="str">
        <f>IF(WWWW[[#This Row],['#_students at TLS_CFS]]="","No","Yes")</f>
        <v>No</v>
      </c>
      <c r="CO18" s="455">
        <f>WWWW[[#This Row],[%_of_affected_people_surveyed_who_report_feeling_informed_about_the_different_WASH_services_available_to_them]]</f>
        <v>0</v>
      </c>
      <c r="CP18"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8" s="503">
        <f>IF(WWWW[[#This Row],['#_PPL_accessed_water_in_TLS]]&gt;WWWW[[#This Row],['# students access to functioning school latrines_HRP5]],WWWW[[#This Row],['#_PPL_accessed_water_in_TLS]],WWWW[[#This Row],['# students access to functioning school latrines_HRP5]])</f>
        <v>200</v>
      </c>
      <c r="CR18" s="503">
        <f>IF(WWWW[[#This Row],['#_PPL_accessed_water_in_THF]]&gt;WWWW[[#This Row],['# people access to functioning latrines in THF_HRP6]],WWWW[[#This Row],['#_PPL_accessed_water_in_THF]],WWWW[[#This Row],['# people access to functioning latrines in THF_HRP6]])</f>
        <v>50</v>
      </c>
      <c r="CS18" s="832" t="str">
        <f>VLOOKUP(WWWW[[#This Row],[Site Name]],SiteDB6[[Site Name]:[CCCM Management]],6,FALSE)</f>
        <v>Yes</v>
      </c>
      <c r="CT18" s="832" t="str">
        <f>VLOOKUP(WWWW[[#This Row],[Site Name]],SiteDB6[[Site Name]:[CCCM Focal Agency]],7,FALSE)</f>
        <v>RI</v>
      </c>
      <c r="CU18" s="832" t="str">
        <f>VLOOKUP(WWWW[[#This Row],[Site Name]],SiteDB6[[Site Name]:[Location Type 1]],9,FALSE)</f>
        <v>Camp</v>
      </c>
      <c r="CV18" s="832" t="str">
        <f>VLOOKUP(WWWW[[#This Row],[Site Name]],SiteDB6[[Site Name]:[Type of Accommodation]],10,FALSE)</f>
        <v>Planned Camp</v>
      </c>
      <c r="CW18" s="832" t="str">
        <f>VLOOKUP(WWWW[[#This Row],[Site Name]],SiteDB6[[Site Name]:[Ethnic or GCA/NGCA]],11,FALSE)</f>
        <v>Muslim</v>
      </c>
      <c r="CX18" s="832">
        <f>VLOOKUP(WWWW[[#This Row],[Site Name]],SiteDB6[[Site Name]:[Lat]],12,FALSE)</f>
        <v>20.037655000000001</v>
      </c>
      <c r="CY18" s="832">
        <f>VLOOKUP(WWWW[[#This Row],[Site Name]],SiteDB6[[Site Name]:[Long]],13,FALSE)</f>
        <v>93.370037999999994</v>
      </c>
      <c r="CZ18" s="832" t="str">
        <f>VLOOKUP(WWWW[[#This Row],[Site Name]],SiteDB6[[Site Name]:[Pcode]],3,FALSE)</f>
        <v>MMR012CMP014</v>
      </c>
      <c r="DA18" s="845" t="str">
        <f t="shared" si="0"/>
        <v>Covered</v>
      </c>
      <c r="DB18" s="480">
        <f>VLOOKUP(WWWW[[#This Row],[Site Name]],SiteDB6[[Site Name]:[PWD_Total]],22,FALSE)</f>
        <v>73</v>
      </c>
      <c r="DC18" s="480">
        <f>VLOOKUP(WWWW[[#This Row],[Site Name]],SiteDB6[[Site Name]:[PWD_Total]],23,FALSE)</f>
        <v>318</v>
      </c>
      <c r="DD18" s="480">
        <f>WWWW[[#This Row],['# of Male_People with disabilities]]+WWWW[[#This Row],['# of Female_People with disabilities]]</f>
        <v>391</v>
      </c>
      <c r="DE18" s="832"/>
      <c r="DF18" s="845"/>
      <c r="DG18" s="845"/>
      <c r="DH18" s="845"/>
      <c r="DI18" s="845">
        <f>VLOOKUP(WWWW[[#This Row],[Site Name]],SiteDB6[[Site Name]:[Pop
(CCCM as of Autust 2021)]],16,FALSE)</f>
        <v>747</v>
      </c>
      <c r="DJ18" s="845">
        <f>VLOOKUP(WWWW[[#This Row],[Site Name]],SiteDB6[[Site Name]:[Pop
(CCCM as of Autust 2021)]],17,FALSE)</f>
        <v>3495</v>
      </c>
    </row>
    <row r="19" spans="1:114">
      <c r="A19" s="830" t="s">
        <v>3156</v>
      </c>
      <c r="B19" s="862" t="s">
        <v>265</v>
      </c>
      <c r="C19" s="862" t="s">
        <v>265</v>
      </c>
      <c r="D19" s="863" t="s">
        <v>2989</v>
      </c>
      <c r="E19" s="831" t="s">
        <v>293</v>
      </c>
      <c r="F19" s="831" t="s">
        <v>401</v>
      </c>
      <c r="G19" s="864" t="s">
        <v>43</v>
      </c>
      <c r="H19" s="831" t="s">
        <v>405</v>
      </c>
      <c r="I19" s="865">
        <v>1076</v>
      </c>
      <c r="J19" s="865">
        <v>5024</v>
      </c>
      <c r="K19" s="687">
        <f>WWWW[[#This Row],[Total PoP ]]/WWWW[[#This Row],[Total HH]]</f>
        <v>4.6691449814126393</v>
      </c>
      <c r="L19" s="866">
        <v>43525</v>
      </c>
      <c r="M19" s="867">
        <v>44620</v>
      </c>
      <c r="N19" s="865"/>
      <c r="O19" s="503"/>
      <c r="P19" s="865"/>
      <c r="Q19" s="503">
        <v>9</v>
      </c>
      <c r="R19" s="503">
        <v>9</v>
      </c>
      <c r="S19" s="865"/>
      <c r="T19" s="865">
        <v>5024</v>
      </c>
      <c r="U19" s="865"/>
      <c r="V19" s="868"/>
      <c r="W19" s="865"/>
      <c r="X19" s="868"/>
      <c r="Y19" s="865"/>
      <c r="Z19" s="503"/>
      <c r="AA19" s="503"/>
      <c r="AB19" s="869"/>
      <c r="AC19" s="865">
        <v>121</v>
      </c>
      <c r="AD19" s="865">
        <v>154</v>
      </c>
      <c r="AE19" s="865"/>
      <c r="AF19" s="865"/>
      <c r="AG19" s="868">
        <v>0.99</v>
      </c>
      <c r="AH19" s="868">
        <v>0.98</v>
      </c>
      <c r="AI19" s="868">
        <v>0.98</v>
      </c>
      <c r="AJ19" s="865">
        <v>25</v>
      </c>
      <c r="AK19" s="865">
        <v>120</v>
      </c>
      <c r="AL19" s="865"/>
      <c r="AM19" s="503">
        <v>2</v>
      </c>
      <c r="AN19" s="865" t="s">
        <v>41</v>
      </c>
      <c r="AO19" s="870" t="s">
        <v>3164</v>
      </c>
      <c r="AP19" s="865">
        <v>974</v>
      </c>
      <c r="AQ19" s="865">
        <v>1090</v>
      </c>
      <c r="AR19" s="865">
        <v>1516</v>
      </c>
      <c r="AS19" s="865">
        <v>1444</v>
      </c>
      <c r="AT19" s="865">
        <v>1059</v>
      </c>
      <c r="AU19" s="865">
        <v>2118</v>
      </c>
      <c r="AV19" s="453"/>
      <c r="AW19" s="868">
        <v>0.79</v>
      </c>
      <c r="AX19" s="454"/>
      <c r="AY19" s="871" t="s">
        <v>3165</v>
      </c>
      <c r="AZ19" s="453">
        <v>0.99</v>
      </c>
      <c r="BA19" s="453">
        <v>0.99</v>
      </c>
      <c r="BB19" s="453">
        <v>0.95</v>
      </c>
      <c r="BC19" s="453">
        <v>1</v>
      </c>
      <c r="BD19" s="453"/>
      <c r="BE19" s="503"/>
      <c r="BF19" s="503"/>
      <c r="BG19" s="503"/>
      <c r="BH19" s="503"/>
      <c r="BI19" s="503"/>
      <c r="BJ19" s="503"/>
      <c r="BK19" s="503"/>
      <c r="BL19" s="872" t="str">
        <f>IF(WWWW[[#This Row],['#_Water samples_Tested_at_water_source]]="","no test","Tested")</f>
        <v>no test</v>
      </c>
      <c r="BM19" s="872" t="str">
        <f>IF(WWWW[[#This Row],['#_Water samples_Tested_at_HH]]="","no test","Tested")</f>
        <v>no test</v>
      </c>
      <c r="BN19" s="873" t="str">
        <f>IF(AND(WWWW[[#This Row],[Water_testing_at source]]="no test",WWWW[[#This Row],[Water_testing_at HH]]="no test"),"No Test","Tested")</f>
        <v>No Test</v>
      </c>
      <c r="BO19"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19" s="874">
        <f>WWWW[[#This Row],[% HRP1]]*WWWW[[#This Row],[Total PoP ]]</f>
        <v>5024</v>
      </c>
      <c r="BQ19" s="875">
        <f>WWWW[[#This Row],[HRP1]]/500</f>
        <v>10.048</v>
      </c>
      <c r="BR19" s="876">
        <f>1-WWWW[[#This Row],[% HRP1]]</f>
        <v>0</v>
      </c>
      <c r="BS19" s="875">
        <f>WWWW[[#This Row],[%equitable and continuous access to sufficient quantity of safe drinking and domestic water''s GAP]]*WWWW[[#This Row],[Total PoP ]]</f>
        <v>0</v>
      </c>
      <c r="BT19" s="454">
        <f>ROUND(IF(WWWW[[#This Row],[Total PoP ]]&lt;500,1,WWWW[[#This Row],[Total PoP ]]/500),0)</f>
        <v>10</v>
      </c>
      <c r="BU19" s="873">
        <f>IF(WWWW[[#This Row],[Total required water points]]-WWWW[[#This Row],['#Water points coverage]]&lt;0,0,WWWW[[#This Row],[Total required water points]]-WWWW[[#This Row],['#Water points coverage]])</f>
        <v>0</v>
      </c>
      <c r="BV19" s="455">
        <f>WWWW[[#This Row],[HRP2]]/WWWW[[#This Row],[Total PoP ]]</f>
        <v>0.60509554140127386</v>
      </c>
      <c r="BW19"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3040</v>
      </c>
      <c r="BX19" s="458">
        <f>IF(WWWW[[#This Row],['#_Functional_adult_latrines]]="","",WWWW[[#This Row],[Total PoP ]]/WWWW[[#This Row],['#_Functional_adult_latrines]])</f>
        <v>41.52066115702479</v>
      </c>
      <c r="BY19" s="873">
        <f>WWWW[[#This Row],['#_of_latrines_in_TLS/CFS]]*50</f>
        <v>0</v>
      </c>
      <c r="BZ19" s="454">
        <f>IF(WWWW[[#This Row],['#_of_latrines_in_THF]]="",0,WWWW[[#This Row],['#_of_latrines_in_THF]]*50)</f>
        <v>100</v>
      </c>
      <c r="CA19" s="873">
        <f>ROUND(IF(WWWW[[#This Row],[Location Type 1]]="camp",WWWW[[#This Row],[Total PoP ]]/20),0)</f>
        <v>251</v>
      </c>
      <c r="CB19" s="873">
        <f>IF(WWWW[[#This Row],[Total required Latrines]]-WWWW[[#This Row],['#_Existing_latrines]]&lt;0,0,WWWW[[#This Row],[Total required Latrines]]-WWWW[[#This Row],['#_Existing_latrines]])</f>
        <v>97</v>
      </c>
      <c r="CC19" s="876">
        <f>1-WWWW[[#This Row],[% HRP2]]</f>
        <v>0.39490445859872614</v>
      </c>
      <c r="CD19" s="872">
        <f>IF(WWWW[[#This Row],['#_Existing_latrines]]="","NA",(WWWW[[#This Row],['#_Existing_latrines]]-WWWW[[#This Row],['#_Functional_adult_latrines]])/WWWW[[#This Row],['#_Existing_latrines]])</f>
        <v>0.21428571428571427</v>
      </c>
      <c r="CE19"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19"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4944.6245353159848</v>
      </c>
      <c r="CG19" s="873">
        <f>IF(WWWW[[#This Row],['#_of_affected_women_and_girls_receiving_a_sufficient_quantity_of_sanitary_pads]]&gt;WWWW[[#This Row],[Total PoP ]],WWWW[[#This Row],[Total PoP ]],WWWW[[#This Row],['#_of_affected_women_and_girls_receiving_a_sufficient_quantity_of_sanitary_pads]])</f>
        <v>2118</v>
      </c>
      <c r="CH19" s="873">
        <f>IF(WWWW[[#This Row],['# People with access to soap]]&gt;WWWW[[#This Row],['# People with access to Sanity Pads]],WWWW[[#This Row],['# People with access to soap]],WWWW[[#This Row],['# People with access to Sanity Pads]])</f>
        <v>4944.6245353159848</v>
      </c>
      <c r="CI19" s="873">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19" s="876">
        <f>IF(WWWW[[#This Row],[HRP3]]/WWWW[[#This Row],[Total PoP ]]&gt;100%,100%,WWWW[[#This Row],[HRP3]]/WWWW[[#This Row],[Total PoP ]])</f>
        <v>1</v>
      </c>
      <c r="CK19" s="872">
        <f>1-WWWW[[#This Row],[Hygiene Coverage%]]</f>
        <v>0</v>
      </c>
      <c r="CL19" s="868">
        <f>WWWW[[#This Row],['# people reached by regular dedicated hygiene promotion_5]]/WWWW[[#This Row],[Total PoP ]]</f>
        <v>1</v>
      </c>
      <c r="CM19" s="872">
        <f>IF(WWWW[[#This Row],['#_of_affected_households_receiving_a_sufficient_quantity_of_soap]]/WWWW[[#This Row],[Total HH]]&gt;1,1,WWWW[[#This Row],['#_of_affected_households_receiving_a_sufficient_quantity_of_soap]]/WWWW[[#This Row],[Total HH]])</f>
        <v>0.98420074349442377</v>
      </c>
      <c r="CN19" s="458" t="str">
        <f>IF(WWWW[[#This Row],['#_students at TLS_CFS]]="","No","Yes")</f>
        <v>No</v>
      </c>
      <c r="CO19" s="455">
        <f>WWWW[[#This Row],[%_of_affected_people_surveyed_who_report_feeling_informed_about_the_different_WASH_services_available_to_them]]</f>
        <v>0.95</v>
      </c>
      <c r="CP19"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9" s="503">
        <f>IF(WWWW[[#This Row],['#_PPL_accessed_water_in_TLS]]&gt;WWWW[[#This Row],['# students access to functioning school latrines_HRP5]],WWWW[[#This Row],['#_PPL_accessed_water_in_TLS]],WWWW[[#This Row],['# students access to functioning school latrines_HRP5]])</f>
        <v>0</v>
      </c>
      <c r="CR19" s="503">
        <f>IF(WWWW[[#This Row],['#_PPL_accessed_water_in_THF]]&gt;WWWW[[#This Row],['# people access to functioning latrines in THF_HRP6]],WWWW[[#This Row],['#_PPL_accessed_water_in_THF]],WWWW[[#This Row],['# people access to functioning latrines in THF_HRP6]])</f>
        <v>100</v>
      </c>
      <c r="CS19" s="864" t="str">
        <f>VLOOKUP(WWWW[[#This Row],[Site Name]],SiteDB6[[Site Name]:[CCCM Management]],6,FALSE)</f>
        <v>Yes</v>
      </c>
      <c r="CT19" s="864" t="str">
        <f>VLOOKUP(WWWW[[#This Row],[Site Name]],SiteDB6[[Site Name]:[CCCM Focal Agency]],7,FALSE)</f>
        <v>LWF</v>
      </c>
      <c r="CU19" s="864" t="str">
        <f>VLOOKUP(WWWW[[#This Row],[Site Name]],SiteDB6[[Site Name]:[Location Type 1]],9,FALSE)</f>
        <v>Camp</v>
      </c>
      <c r="CV19" s="864" t="str">
        <f>VLOOKUP(WWWW[[#This Row],[Site Name]],SiteDB6[[Site Name]:[Type of Accommodation]],10,FALSE)</f>
        <v>Individual House</v>
      </c>
      <c r="CW19" s="864" t="str">
        <f>VLOOKUP(WWWW[[#This Row],[Site Name]],SiteDB6[[Site Name]:[Ethnic or GCA/NGCA]],11,FALSE)</f>
        <v>Muslim</v>
      </c>
      <c r="CX19" s="864">
        <f>VLOOKUP(WWWW[[#This Row],[Site Name]],SiteDB6[[Site Name]:[Lat]],12,FALSE)</f>
        <v>20.073437999999999</v>
      </c>
      <c r="CY19" s="864">
        <f>VLOOKUP(WWWW[[#This Row],[Site Name]],SiteDB6[[Site Name]:[Long]],13,FALSE)</f>
        <v>93.154551999999995</v>
      </c>
      <c r="CZ19" s="864" t="str">
        <f>VLOOKUP(WWWW[[#This Row],[Site Name]],SiteDB6[[Site Name]:[Pcode]],3,FALSE)</f>
        <v>MMR012CMP017</v>
      </c>
      <c r="DA19" s="877" t="str">
        <f t="shared" si="0"/>
        <v>Covered</v>
      </c>
      <c r="DB19" s="480"/>
      <c r="DC19" s="480"/>
      <c r="DD19" s="480">
        <f>WWWW[[#This Row],['# of Male_People with disabilities]]+WWWW[[#This Row],['# of Female_People with disabilities]]</f>
        <v>0</v>
      </c>
      <c r="DE19" s="864"/>
      <c r="DF19" s="877"/>
      <c r="DG19" s="877"/>
      <c r="DH19" s="877"/>
      <c r="DI19" s="877">
        <f>VLOOKUP(WWWW[[#This Row],[Site Name]],SiteDB6[[Site Name]:[Pop
(CCCM as of Autust 2021)]],16,FALSE)</f>
        <v>1059</v>
      </c>
      <c r="DJ19" s="877">
        <f>VLOOKUP(WWWW[[#This Row],[Site Name]],SiteDB6[[Site Name]:[Pop
(CCCM as of Autust 2021)]],17,FALSE)</f>
        <v>5004</v>
      </c>
    </row>
    <row r="20" spans="1:114">
      <c r="A20" s="830" t="s">
        <v>3156</v>
      </c>
      <c r="B20" s="863" t="s">
        <v>2270</v>
      </c>
      <c r="C20" s="863" t="s">
        <v>2270</v>
      </c>
      <c r="D20" s="863" t="s">
        <v>40</v>
      </c>
      <c r="E20" s="863" t="s">
        <v>293</v>
      </c>
      <c r="F20" s="863" t="s">
        <v>294</v>
      </c>
      <c r="G20" s="864" t="s">
        <v>43</v>
      </c>
      <c r="H20" s="863" t="s">
        <v>426</v>
      </c>
      <c r="I20" s="865">
        <v>1331</v>
      </c>
      <c r="J20" s="865">
        <v>7033</v>
      </c>
      <c r="K20" s="687">
        <f>WWWW[[#This Row],[Total PoP ]]/WWWW[[#This Row],[Total HH]]</f>
        <v>5.2839969947407965</v>
      </c>
      <c r="L20" s="866">
        <v>44652</v>
      </c>
      <c r="M20" s="867">
        <v>44742</v>
      </c>
      <c r="N20" s="865"/>
      <c r="O20" s="503">
        <v>69</v>
      </c>
      <c r="P20" s="865">
        <v>79</v>
      </c>
      <c r="Q20" s="503"/>
      <c r="R20" s="503"/>
      <c r="S20" s="865"/>
      <c r="T20" s="865"/>
      <c r="U20" s="865"/>
      <c r="V20" s="868"/>
      <c r="W20" s="865"/>
      <c r="X20" s="868"/>
      <c r="Y20" s="865"/>
      <c r="Z20" s="503"/>
      <c r="AA20" s="503"/>
      <c r="AB20" s="869"/>
      <c r="AC20" s="865">
        <v>265</v>
      </c>
      <c r="AD20" s="865">
        <v>328</v>
      </c>
      <c r="AE20" s="865"/>
      <c r="AF20" s="865"/>
      <c r="AG20" s="868"/>
      <c r="AH20" s="868"/>
      <c r="AI20" s="868"/>
      <c r="AJ20" s="865">
        <v>12</v>
      </c>
      <c r="AK20" s="865"/>
      <c r="AL20" s="865"/>
      <c r="AM20" s="503"/>
      <c r="AN20" s="865" t="s">
        <v>41</v>
      </c>
      <c r="AO20" s="870"/>
      <c r="AP20" s="865"/>
      <c r="AQ20" s="865"/>
      <c r="AR20" s="865"/>
      <c r="AS20" s="865"/>
      <c r="AT20" s="865">
        <v>1331</v>
      </c>
      <c r="AU20" s="865">
        <v>2662</v>
      </c>
      <c r="AV20" s="453"/>
      <c r="AW20" s="868"/>
      <c r="AX20" s="454"/>
      <c r="AY20" s="871"/>
      <c r="AZ20" s="453"/>
      <c r="BA20" s="453"/>
      <c r="BB20" s="453"/>
      <c r="BC20" s="453"/>
      <c r="BD20" s="453"/>
      <c r="BE20" s="503">
        <v>328</v>
      </c>
      <c r="BF20" s="503"/>
      <c r="BG20" s="503"/>
      <c r="BH20" s="503"/>
      <c r="BI20" s="503"/>
      <c r="BJ20" s="503"/>
      <c r="BK20" s="503"/>
      <c r="BL20" s="872" t="str">
        <f>IF(WWWW[[#This Row],['#_Water samples_Tested_at_water_source]]="","no test","Tested")</f>
        <v>no test</v>
      </c>
      <c r="BM20" s="872" t="str">
        <f>IF(WWWW[[#This Row],['#_Water samples_Tested_at_HH]]="","no test","Tested")</f>
        <v>no test</v>
      </c>
      <c r="BN20" s="873" t="str">
        <f>IF(AND(WWWW[[#This Row],[Water_testing_at source]]="no test",WWWW[[#This Row],[Water_testing_at HH]]="no test"),"No Test","Tested")</f>
        <v>No Test</v>
      </c>
      <c r="BO20"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0" s="874">
        <f>WWWW[[#This Row],[% HRP1]]*WWWW[[#This Row],[Total PoP ]]</f>
        <v>7033</v>
      </c>
      <c r="BQ20" s="875">
        <f>WWWW[[#This Row],[HRP1]]/500</f>
        <v>14.066000000000001</v>
      </c>
      <c r="BR20" s="876">
        <f>1-WWWW[[#This Row],[% HRP1]]</f>
        <v>0</v>
      </c>
      <c r="BS20" s="875">
        <f>WWWW[[#This Row],[%equitable and continuous access to sufficient quantity of safe drinking and domestic water''s GAP]]*WWWW[[#This Row],[Total PoP ]]</f>
        <v>0</v>
      </c>
      <c r="BT20" s="454">
        <f>ROUND(IF(WWWW[[#This Row],[Total PoP ]]&lt;500,1,WWWW[[#This Row],[Total PoP ]]/500),0)</f>
        <v>14</v>
      </c>
      <c r="BU20" s="873">
        <f>IF(WWWW[[#This Row],[Total required water points]]-WWWW[[#This Row],['#Water points coverage]]&lt;0,0,WWWW[[#This Row],[Total required water points]]-WWWW[[#This Row],['#Water points coverage]])</f>
        <v>0</v>
      </c>
      <c r="BV20" s="455">
        <f>WWWW[[#This Row],[HRP2]]/WWWW[[#This Row],[Total PoP ]]</f>
        <v>0.78771505758566762</v>
      </c>
      <c r="BW20"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5540</v>
      </c>
      <c r="BX20" s="458">
        <f>IF(WWWW[[#This Row],['#_Functional_adult_latrines]]="","",WWWW[[#This Row],[Total PoP ]]/WWWW[[#This Row],['#_Functional_adult_latrines]])</f>
        <v>26.539622641509435</v>
      </c>
      <c r="BY20" s="873">
        <f>WWWW[[#This Row],['#_of_latrines_in_TLS/CFS]]*50</f>
        <v>0</v>
      </c>
      <c r="BZ20" s="454">
        <f>IF(WWWW[[#This Row],['#_of_latrines_in_THF]]="",0,WWWW[[#This Row],['#_of_latrines_in_THF]]*50)</f>
        <v>0</v>
      </c>
      <c r="CA20" s="873">
        <f>ROUND(IF(WWWW[[#This Row],[Location Type 1]]="camp",WWWW[[#This Row],[Total PoP ]]/20),0)</f>
        <v>352</v>
      </c>
      <c r="CB20" s="873">
        <f>IF(WWWW[[#This Row],[Total required Latrines]]-WWWW[[#This Row],['#_Existing_latrines]]&lt;0,0,WWWW[[#This Row],[Total required Latrines]]-WWWW[[#This Row],['#_Existing_latrines]])</f>
        <v>24</v>
      </c>
      <c r="CC20" s="876">
        <f>1-WWWW[[#This Row],[% HRP2]]</f>
        <v>0.21228494241433238</v>
      </c>
      <c r="CD20" s="872">
        <f>IF(WWWW[[#This Row],['#_Existing_latrines]]="","NA",(WWWW[[#This Row],['#_Existing_latrines]]-WWWW[[#This Row],['#_Functional_adult_latrines]])/WWWW[[#This Row],['#_Existing_latrines]])</f>
        <v>0.19207317073170732</v>
      </c>
      <c r="CE20"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0"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7033</v>
      </c>
      <c r="CG20" s="873">
        <f>IF(WWWW[[#This Row],['#_of_affected_women_and_girls_receiving_a_sufficient_quantity_of_sanitary_pads]]&gt;WWWW[[#This Row],[Total PoP ]],WWWW[[#This Row],[Total PoP ]],WWWW[[#This Row],['#_of_affected_women_and_girls_receiving_a_sufficient_quantity_of_sanitary_pads]])</f>
        <v>2662</v>
      </c>
      <c r="CH20" s="873">
        <f>IF(WWWW[[#This Row],['# People with access to soap]]&gt;WWWW[[#This Row],['# People with access to Sanity Pads]],WWWW[[#This Row],['# People with access to soap]],WWWW[[#This Row],['# People with access to Sanity Pads]])</f>
        <v>7033</v>
      </c>
      <c r="CI20" s="873">
        <f>IF(WWWW[[#This Row],['# people reached by regular dedicated hygiene promotion_5]]&gt;WWWW[[#This Row],['# People received regular supply of hygiene items_6]],WWWW[[#This Row],['# people reached by regular dedicated hygiene promotion_5]],WWWW[[#This Row],['# People received regular supply of hygiene items_6]])</f>
        <v>7033</v>
      </c>
      <c r="CJ20" s="876">
        <f>IF(WWWW[[#This Row],[HRP3]]/WWWW[[#This Row],[Total PoP ]]&gt;100%,100%,WWWW[[#This Row],[HRP3]]/WWWW[[#This Row],[Total PoP ]])</f>
        <v>1</v>
      </c>
      <c r="CK20" s="872">
        <f>1-WWWW[[#This Row],[Hygiene Coverage%]]</f>
        <v>0</v>
      </c>
      <c r="CL20" s="868">
        <f>WWWW[[#This Row],['# people reached by regular dedicated hygiene promotion_5]]/WWWW[[#This Row],[Total PoP ]]</f>
        <v>0</v>
      </c>
      <c r="CM20" s="872">
        <f>IF(WWWW[[#This Row],['#_of_affected_households_receiving_a_sufficient_quantity_of_soap]]/WWWW[[#This Row],[Total HH]]&gt;1,1,WWWW[[#This Row],['#_of_affected_households_receiving_a_sufficient_quantity_of_soap]]/WWWW[[#This Row],[Total HH]])</f>
        <v>1</v>
      </c>
      <c r="CN20" s="458" t="str">
        <f>IF(WWWW[[#This Row],['#_students at TLS_CFS]]="","No","Yes")</f>
        <v>No</v>
      </c>
      <c r="CO20" s="455">
        <f>WWWW[[#This Row],[%_of_affected_people_surveyed_who_report_feeling_informed_about_the_different_WASH_services_available_to_them]]</f>
        <v>0</v>
      </c>
      <c r="CP20"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328</v>
      </c>
      <c r="CQ20" s="503">
        <f>IF(WWWW[[#This Row],['#_PPL_accessed_water_in_TLS]]&gt;WWWW[[#This Row],['# students access to functioning school latrines_HRP5]],WWWW[[#This Row],['#_PPL_accessed_water_in_TLS]],WWWW[[#This Row],['# students access to functioning school latrines_HRP5]])</f>
        <v>0</v>
      </c>
      <c r="CR20" s="503">
        <f>IF(WWWW[[#This Row],['#_PPL_accessed_water_in_THF]]&gt;WWWW[[#This Row],['# people access to functioning latrines in THF_HRP6]],WWWW[[#This Row],['#_PPL_accessed_water_in_THF]],WWWW[[#This Row],['# people access to functioning latrines in THF_HRP6]])</f>
        <v>0</v>
      </c>
      <c r="CS20" s="864" t="str">
        <f>VLOOKUP(WWWW[[#This Row],[Site Name]],SiteDB6[[Site Name]:[CCCM Management]],6,FALSE)</f>
        <v>Yes</v>
      </c>
      <c r="CT20" s="864">
        <f>VLOOKUP(WWWW[[#This Row],[Site Name]],SiteDB6[[Site Name]:[CCCM Focal Agency]],7,FALSE)</f>
        <v>0</v>
      </c>
      <c r="CU20" s="864" t="str">
        <f>VLOOKUP(WWWW[[#This Row],[Site Name]],SiteDB6[[Site Name]:[Location Type 1]],9,FALSE)</f>
        <v>Camp</v>
      </c>
      <c r="CV20" s="864" t="str">
        <f>VLOOKUP(WWWW[[#This Row],[Site Name]],SiteDB6[[Site Name]:[Type of Accommodation]],10,FALSE)</f>
        <v>Planned Camp</v>
      </c>
      <c r="CW20" s="864" t="str">
        <f>VLOOKUP(WWWW[[#This Row],[Site Name]],SiteDB6[[Site Name]:[Ethnic or GCA/NGCA]],11,FALSE)</f>
        <v>Muslim</v>
      </c>
      <c r="CX20" s="864">
        <f>VLOOKUP(WWWW[[#This Row],[Site Name]],SiteDB6[[Site Name]:[Lat]],12,FALSE)</f>
        <v>20.181405999999999</v>
      </c>
      <c r="CY20" s="864">
        <f>VLOOKUP(WWWW[[#This Row],[Site Name]],SiteDB6[[Site Name]:[Long]],13,FALSE)</f>
        <v>92.807552000000001</v>
      </c>
      <c r="CZ20" s="864" t="str">
        <f>VLOOKUP(WWWW[[#This Row],[Site Name]],SiteDB6[[Site Name]:[Pcode]],3,FALSE)</f>
        <v>MMR012CMP114</v>
      </c>
      <c r="DA20" s="877" t="str">
        <f t="shared" si="0"/>
        <v>Covered</v>
      </c>
      <c r="DB20" s="480"/>
      <c r="DC20" s="480"/>
      <c r="DD20" s="480">
        <f>WWWW[[#This Row],['# of Male_People with disabilities]]+WWWW[[#This Row],['# of Female_People with disabilities]]</f>
        <v>0</v>
      </c>
      <c r="DE20" s="864"/>
      <c r="DF20" s="877"/>
      <c r="DG20" s="877"/>
      <c r="DH20" s="877"/>
      <c r="DI20" s="877">
        <f>VLOOKUP(WWWW[[#This Row],[Site Name]],SiteDB6[[Site Name]:[Pop
(CCCM as of Autust 2021)]],16,FALSE)</f>
        <v>1346</v>
      </c>
      <c r="DJ20" s="877">
        <f>VLOOKUP(WWWW[[#This Row],[Site Name]],SiteDB6[[Site Name]:[Pop
(CCCM as of Autust 2021)]],17,FALSE)</f>
        <v>8414</v>
      </c>
    </row>
    <row r="21" spans="1:114">
      <c r="A21" s="830" t="s">
        <v>3156</v>
      </c>
      <c r="B21" s="863" t="s">
        <v>2270</v>
      </c>
      <c r="C21" s="863" t="s">
        <v>2270</v>
      </c>
      <c r="D21" s="863" t="s">
        <v>40</v>
      </c>
      <c r="E21" s="863" t="s">
        <v>293</v>
      </c>
      <c r="F21" s="863" t="s">
        <v>294</v>
      </c>
      <c r="G21" s="864" t="s">
        <v>43</v>
      </c>
      <c r="H21" s="863" t="s">
        <v>423</v>
      </c>
      <c r="I21" s="865">
        <v>1850</v>
      </c>
      <c r="J21" s="865">
        <v>11056</v>
      </c>
      <c r="K21" s="687">
        <f>WWWW[[#This Row],[Total PoP ]]/WWWW[[#This Row],[Total HH]]</f>
        <v>5.9762162162162165</v>
      </c>
      <c r="L21" s="866">
        <v>44652</v>
      </c>
      <c r="M21" s="867">
        <v>44742</v>
      </c>
      <c r="N21" s="865"/>
      <c r="O21" s="503">
        <v>79</v>
      </c>
      <c r="P21" s="865">
        <v>86</v>
      </c>
      <c r="Q21" s="503"/>
      <c r="R21" s="503"/>
      <c r="S21" s="865"/>
      <c r="T21" s="865"/>
      <c r="U21" s="865"/>
      <c r="V21" s="868"/>
      <c r="W21" s="865"/>
      <c r="X21" s="868"/>
      <c r="Y21" s="865"/>
      <c r="Z21" s="503"/>
      <c r="AA21" s="503"/>
      <c r="AB21" s="869"/>
      <c r="AC21" s="865">
        <v>438</v>
      </c>
      <c r="AD21" s="865">
        <v>570</v>
      </c>
      <c r="AE21" s="865">
        <v>213</v>
      </c>
      <c r="AF21" s="865">
        <v>191</v>
      </c>
      <c r="AG21" s="868" t="s">
        <v>3166</v>
      </c>
      <c r="AH21" s="868">
        <v>0.94</v>
      </c>
      <c r="AI21" s="868">
        <v>0.77</v>
      </c>
      <c r="AJ21" s="865">
        <v>12</v>
      </c>
      <c r="AK21" s="865">
        <v>68</v>
      </c>
      <c r="AL21" s="865">
        <v>7</v>
      </c>
      <c r="AM21" s="503"/>
      <c r="AN21" s="865" t="s">
        <v>41</v>
      </c>
      <c r="AO21" s="870"/>
      <c r="AP21" s="865">
        <v>45</v>
      </c>
      <c r="AQ21" s="865">
        <v>25</v>
      </c>
      <c r="AR21" s="865">
        <v>8</v>
      </c>
      <c r="AS21" s="865">
        <v>135</v>
      </c>
      <c r="AT21" s="865">
        <v>1850</v>
      </c>
      <c r="AU21" s="865">
        <v>3700</v>
      </c>
      <c r="AV21" s="453">
        <v>0.96</v>
      </c>
      <c r="AW21" s="868">
        <v>1</v>
      </c>
      <c r="AX21" s="454">
        <v>0</v>
      </c>
      <c r="AY21" s="871"/>
      <c r="AZ21" s="453">
        <v>1</v>
      </c>
      <c r="BA21" s="453">
        <v>1</v>
      </c>
      <c r="BB21" s="453">
        <v>1</v>
      </c>
      <c r="BC21" s="453">
        <v>0.79</v>
      </c>
      <c r="BD21" s="453"/>
      <c r="BE21" s="503">
        <v>570</v>
      </c>
      <c r="BF21" s="503"/>
      <c r="BG21" s="503"/>
      <c r="BH21" s="503"/>
      <c r="BI21" s="503"/>
      <c r="BJ21" s="503"/>
      <c r="BK21" s="503"/>
      <c r="BL21" s="872" t="str">
        <f>IF(WWWW[[#This Row],['#_Water samples_Tested_at_water_source]]="","no test","Tested")</f>
        <v>no test</v>
      </c>
      <c r="BM21" s="872" t="str">
        <f>IF(WWWW[[#This Row],['#_Water samples_Tested_at_HH]]="","no test","Tested")</f>
        <v>no test</v>
      </c>
      <c r="BN21" s="873" t="str">
        <f>IF(AND(WWWW[[#This Row],[Water_testing_at source]]="no test",WWWW[[#This Row],[Water_testing_at HH]]="no test"),"No Test","Tested")</f>
        <v>No Test</v>
      </c>
      <c r="BO21"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1" s="874">
        <f>WWWW[[#This Row],[% HRP1]]*WWWW[[#This Row],[Total PoP ]]</f>
        <v>11056</v>
      </c>
      <c r="BQ21" s="875">
        <f>WWWW[[#This Row],[HRP1]]/500</f>
        <v>22.111999999999998</v>
      </c>
      <c r="BR21" s="876">
        <f>1-WWWW[[#This Row],[% HRP1]]</f>
        <v>0</v>
      </c>
      <c r="BS21" s="875">
        <f>WWWW[[#This Row],[%equitable and continuous access to sufficient quantity of safe drinking and domestic water''s GAP]]*WWWW[[#This Row],[Total PoP ]]</f>
        <v>0</v>
      </c>
      <c r="BT21" s="454">
        <f>ROUND(IF(WWWW[[#This Row],[Total PoP ]]&lt;500,1,WWWW[[#This Row],[Total PoP ]]/500),0)</f>
        <v>22</v>
      </c>
      <c r="BU21" s="873">
        <f>IF(WWWW[[#This Row],[Total required water points]]-WWWW[[#This Row],['#Water points coverage]]&lt;0,0,WWWW[[#This Row],[Total required water points]]-WWWW[[#This Row],['#Water points coverage]])</f>
        <v>0</v>
      </c>
      <c r="BV21" s="455">
        <f>WWWW[[#This Row],[HRP2]]/WWWW[[#This Row],[Total PoP ]]</f>
        <v>0.82018813314037631</v>
      </c>
      <c r="BW21"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9068</v>
      </c>
      <c r="BX21" s="458">
        <f>IF(WWWW[[#This Row],['#_Functional_adult_latrines]]="","",WWWW[[#This Row],[Total PoP ]]/WWWW[[#This Row],['#_Functional_adult_latrines]])</f>
        <v>25.24200913242009</v>
      </c>
      <c r="BY21" s="873">
        <f>WWWW[[#This Row],['#_of_latrines_in_TLS/CFS]]*50</f>
        <v>350</v>
      </c>
      <c r="BZ21" s="454">
        <f>IF(WWWW[[#This Row],['#_of_latrines_in_THF]]="",0,WWWW[[#This Row],['#_of_latrines_in_THF]]*50)</f>
        <v>0</v>
      </c>
      <c r="CA21" s="873">
        <f>ROUND(IF(WWWW[[#This Row],[Location Type 1]]="camp",WWWW[[#This Row],[Total PoP ]]/20),0)</f>
        <v>553</v>
      </c>
      <c r="CB21" s="873">
        <f>IF(WWWW[[#This Row],[Total required Latrines]]-WWWW[[#This Row],['#_Existing_latrines]]&lt;0,0,WWWW[[#This Row],[Total required Latrines]]-WWWW[[#This Row],['#_Existing_latrines]])</f>
        <v>0</v>
      </c>
      <c r="CC21" s="876">
        <f>1-WWWW[[#This Row],[% HRP2]]</f>
        <v>0.17981186685962369</v>
      </c>
      <c r="CD21" s="872">
        <f>IF(WWWW[[#This Row],['#_Existing_latrines]]="","NA",(WWWW[[#This Row],['#_Existing_latrines]]-WWWW[[#This Row],['#_Functional_adult_latrines]])/WWWW[[#This Row],['#_Existing_latrines]])</f>
        <v>0.23157894736842105</v>
      </c>
      <c r="CE21"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213</v>
      </c>
      <c r="CF21"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11056</v>
      </c>
      <c r="CG21" s="873">
        <f>IF(WWWW[[#This Row],['#_of_affected_women_and_girls_receiving_a_sufficient_quantity_of_sanitary_pads]]&gt;WWWW[[#This Row],[Total PoP ]],WWWW[[#This Row],[Total PoP ]],WWWW[[#This Row],['#_of_affected_women_and_girls_receiving_a_sufficient_quantity_of_sanitary_pads]])</f>
        <v>3700</v>
      </c>
      <c r="CH21" s="873">
        <f>IF(WWWW[[#This Row],['# People with access to soap]]&gt;WWWW[[#This Row],['# People with access to Sanity Pads]],WWWW[[#This Row],['# People with access to soap]],WWWW[[#This Row],['# People with access to Sanity Pads]])</f>
        <v>11056</v>
      </c>
      <c r="CI21" s="873">
        <f>IF(WWWW[[#This Row],['# people reached by regular dedicated hygiene promotion_5]]&gt;WWWW[[#This Row],['# People received regular supply of hygiene items_6]],WWWW[[#This Row],['# people reached by regular dedicated hygiene promotion_5]],WWWW[[#This Row],['# People received regular supply of hygiene items_6]])</f>
        <v>11056</v>
      </c>
      <c r="CJ21" s="876">
        <f>IF(WWWW[[#This Row],[HRP3]]/WWWW[[#This Row],[Total PoP ]]&gt;100%,100%,WWWW[[#This Row],[HRP3]]/WWWW[[#This Row],[Total PoP ]])</f>
        <v>1</v>
      </c>
      <c r="CK21" s="872">
        <f>1-WWWW[[#This Row],[Hygiene Coverage%]]</f>
        <v>0</v>
      </c>
      <c r="CL21" s="868">
        <f>WWWW[[#This Row],['# people reached by regular dedicated hygiene promotion_5]]/WWWW[[#This Row],[Total PoP ]]</f>
        <v>1.9265557163531115E-2</v>
      </c>
      <c r="CM21" s="872">
        <f>IF(WWWW[[#This Row],['#_of_affected_households_receiving_a_sufficient_quantity_of_soap]]/WWWW[[#This Row],[Total HH]]&gt;1,1,WWWW[[#This Row],['#_of_affected_households_receiving_a_sufficient_quantity_of_soap]]/WWWW[[#This Row],[Total HH]])</f>
        <v>1</v>
      </c>
      <c r="CN21" s="458" t="str">
        <f>IF(WWWW[[#This Row],['#_students at TLS_CFS]]="","No","Yes")</f>
        <v>No</v>
      </c>
      <c r="CO21" s="455">
        <f>WWWW[[#This Row],[%_of_affected_people_surveyed_who_report_feeling_informed_about_the_different_WASH_services_available_to_them]]</f>
        <v>1</v>
      </c>
      <c r="CP21"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570</v>
      </c>
      <c r="CQ21" s="503">
        <f>IF(WWWW[[#This Row],['#_PPL_accessed_water_in_TLS]]&gt;WWWW[[#This Row],['# students access to functioning school latrines_HRP5]],WWWW[[#This Row],['#_PPL_accessed_water_in_TLS]],WWWW[[#This Row],['# students access to functioning school latrines_HRP5]])</f>
        <v>350</v>
      </c>
      <c r="CR21" s="503">
        <f>IF(WWWW[[#This Row],['#_PPL_accessed_water_in_THF]]&gt;WWWW[[#This Row],['# people access to functioning latrines in THF_HRP6]],WWWW[[#This Row],['#_PPL_accessed_water_in_THF]],WWWW[[#This Row],['# people access to functioning latrines in THF_HRP6]])</f>
        <v>0</v>
      </c>
      <c r="CS21" s="864" t="str">
        <f>VLOOKUP(WWWW[[#This Row],[Site Name]],SiteDB6[[Site Name]:[CCCM Management]],6,FALSE)</f>
        <v>Yes</v>
      </c>
      <c r="CT21" s="864">
        <f>VLOOKUP(WWWW[[#This Row],[Site Name]],SiteDB6[[Site Name]:[CCCM Focal Agency]],7,FALSE)</f>
        <v>0</v>
      </c>
      <c r="CU21" s="864" t="str">
        <f>VLOOKUP(WWWW[[#This Row],[Site Name]],SiteDB6[[Site Name]:[Location Type 1]],9,FALSE)</f>
        <v>Camp</v>
      </c>
      <c r="CV21" s="864" t="str">
        <f>VLOOKUP(WWWW[[#This Row],[Site Name]],SiteDB6[[Site Name]:[Type of Accommodation]],10,FALSE)</f>
        <v>Planned Camp</v>
      </c>
      <c r="CW21" s="864" t="str">
        <f>VLOOKUP(WWWW[[#This Row],[Site Name]],SiteDB6[[Site Name]:[Ethnic or GCA/NGCA]],11,FALSE)</f>
        <v>Muslim</v>
      </c>
      <c r="CX21" s="864">
        <f>VLOOKUP(WWWW[[#This Row],[Site Name]],SiteDB6[[Site Name]:[Lat]],12,FALSE)</f>
        <v>20.16846</v>
      </c>
      <c r="CY21" s="864">
        <f>VLOOKUP(WWWW[[#This Row],[Site Name]],SiteDB6[[Site Name]:[Long]],13,FALSE)</f>
        <v>92.827427</v>
      </c>
      <c r="CZ21" s="864" t="str">
        <f>VLOOKUP(WWWW[[#This Row],[Site Name]],SiteDB6[[Site Name]:[Pcode]],3,FALSE)</f>
        <v>MMR012CMP041</v>
      </c>
      <c r="DA21" s="877" t="str">
        <f t="shared" si="0"/>
        <v>Covered</v>
      </c>
      <c r="DB21" s="480"/>
      <c r="DC21" s="480"/>
      <c r="DD21" s="480">
        <f>WWWW[[#This Row],['# of Male_People with disabilities]]+WWWW[[#This Row],['# of Female_People with disabilities]]</f>
        <v>0</v>
      </c>
      <c r="DE21" s="864"/>
      <c r="DF21" s="877"/>
      <c r="DG21" s="877"/>
      <c r="DH21" s="877"/>
      <c r="DI21" s="877">
        <f>VLOOKUP(WWWW[[#This Row],[Site Name]],SiteDB6[[Site Name]:[Pop
(CCCM as of Autust 2021)]],16,FALSE)</f>
        <v>1713</v>
      </c>
      <c r="DJ21" s="877">
        <f>VLOOKUP(WWWW[[#This Row],[Site Name]],SiteDB6[[Site Name]:[Pop
(CCCM as of Autust 2021)]],17,FALSE)</f>
        <v>11460</v>
      </c>
    </row>
    <row r="22" spans="1:114">
      <c r="A22" s="830" t="s">
        <v>3156</v>
      </c>
      <c r="B22" s="863" t="s">
        <v>2623</v>
      </c>
      <c r="C22" s="863" t="s">
        <v>2623</v>
      </c>
      <c r="D22" s="831" t="s">
        <v>40</v>
      </c>
      <c r="E22" s="863" t="s">
        <v>293</v>
      </c>
      <c r="F22" s="863" t="s">
        <v>294</v>
      </c>
      <c r="G22" s="810" t="s">
        <v>43</v>
      </c>
      <c r="H22" s="863" t="s">
        <v>438</v>
      </c>
      <c r="I22" s="833">
        <v>2280</v>
      </c>
      <c r="J22" s="833">
        <v>11564</v>
      </c>
      <c r="K22" s="687">
        <f>WWWW[[#This Row],[Total PoP ]]/WWWW[[#This Row],[Total HH]]</f>
        <v>5.0719298245614031</v>
      </c>
      <c r="L22" s="834">
        <v>44197</v>
      </c>
      <c r="M22" s="835">
        <v>44592</v>
      </c>
      <c r="N22" s="833"/>
      <c r="O22" s="503">
        <v>192</v>
      </c>
      <c r="P22" s="833">
        <v>193</v>
      </c>
      <c r="Q22" s="503"/>
      <c r="R22" s="503"/>
      <c r="S22" s="833"/>
      <c r="T22" s="833"/>
      <c r="U22" s="503"/>
      <c r="V22" s="453"/>
      <c r="W22" s="503"/>
      <c r="X22" s="453"/>
      <c r="Y22" s="833"/>
      <c r="Z22" s="503"/>
      <c r="AA22" s="503"/>
      <c r="AB22" s="837"/>
      <c r="AC22" s="833">
        <v>430</v>
      </c>
      <c r="AD22" s="833">
        <v>520</v>
      </c>
      <c r="AE22" s="833"/>
      <c r="AF22" s="833"/>
      <c r="AG22" s="836"/>
      <c r="AH22" s="836"/>
      <c r="AI22" s="836"/>
      <c r="AJ22" s="833">
        <v>12</v>
      </c>
      <c r="AK22" s="833">
        <v>51</v>
      </c>
      <c r="AL22" s="833">
        <v>40</v>
      </c>
      <c r="AM22" s="503"/>
      <c r="AN22" s="833" t="s">
        <v>41</v>
      </c>
      <c r="AO22" s="838"/>
      <c r="AP22" s="833"/>
      <c r="AQ22" s="833"/>
      <c r="AR22" s="833"/>
      <c r="AS22" s="833"/>
      <c r="AT22" s="833"/>
      <c r="AU22" s="833"/>
      <c r="AV22" s="453"/>
      <c r="AW22" s="836"/>
      <c r="AX22" s="454">
        <v>32</v>
      </c>
      <c r="AY22" s="846"/>
      <c r="AZ22" s="453"/>
      <c r="BA22" s="453"/>
      <c r="BB22" s="453"/>
      <c r="BC22" s="453"/>
      <c r="BD22" s="453"/>
      <c r="BE22" s="503"/>
      <c r="BF22" s="503"/>
      <c r="BG22" s="503"/>
      <c r="BH22" s="857"/>
      <c r="BI22" s="857"/>
      <c r="BJ22" s="854"/>
      <c r="BK22" s="503"/>
      <c r="BL22" s="840" t="str">
        <f>IF(WWWW[[#This Row],['#_Water samples_Tested_at_water_source]]="","no test","Tested")</f>
        <v>no test</v>
      </c>
      <c r="BM22" s="840" t="str">
        <f>IF(WWWW[[#This Row],['#_Water samples_Tested_at_HH]]="","no test","Tested")</f>
        <v>no test</v>
      </c>
      <c r="BN22" s="841" t="str">
        <f>IF(AND(WWWW[[#This Row],[Water_testing_at source]]="no test",WWWW[[#This Row],[Water_testing_at HH]]="no test"),"No Test","Tested")</f>
        <v>No Test</v>
      </c>
      <c r="BO22"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2" s="842">
        <f>WWWW[[#This Row],[% HRP1]]*WWWW[[#This Row],[Total PoP ]]</f>
        <v>11564</v>
      </c>
      <c r="BQ22" s="843">
        <f>WWWW[[#This Row],[HRP1]]/500</f>
        <v>23.128</v>
      </c>
      <c r="BR22" s="844">
        <f>1-WWWW[[#This Row],[% HRP1]]</f>
        <v>0</v>
      </c>
      <c r="BS22" s="843">
        <f>WWWW[[#This Row],[%equitable and continuous access to sufficient quantity of safe drinking and domestic water''s GAP]]*WWWW[[#This Row],[Total PoP ]]</f>
        <v>0</v>
      </c>
      <c r="BT22" s="454">
        <f>ROUND(IF(WWWW[[#This Row],[Total PoP ]]&lt;500,1,WWWW[[#This Row],[Total PoP ]]/500),0)</f>
        <v>23</v>
      </c>
      <c r="BU22" s="841">
        <f>IF(WWWW[[#This Row],[Total required water points]]-WWWW[[#This Row],['#Water points coverage]]&lt;0,0,WWWW[[#This Row],[Total required water points]]-WWWW[[#This Row],['#Water points coverage]])</f>
        <v>0</v>
      </c>
      <c r="BV22" s="455">
        <f>WWWW[[#This Row],[HRP2]]/WWWW[[#This Row],[Total PoP ]]</f>
        <v>0.76885160843998612</v>
      </c>
      <c r="BW22"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8891</v>
      </c>
      <c r="BX22" s="458">
        <f>IF(WWWW[[#This Row],['#_Functional_adult_latrines]]="","",WWWW[[#This Row],[Total PoP ]]/WWWW[[#This Row],['#_Functional_adult_latrines]])</f>
        <v>26.893023255813954</v>
      </c>
      <c r="BY22" s="841">
        <f>WWWW[[#This Row],['#_of_latrines_in_TLS/CFS]]*50</f>
        <v>2000</v>
      </c>
      <c r="BZ22" s="454">
        <f>IF(WWWW[[#This Row],['#_of_latrines_in_THF]]="",0,WWWW[[#This Row],['#_of_latrines_in_THF]]*50)</f>
        <v>0</v>
      </c>
      <c r="CA22" s="841">
        <f>ROUND(IF(WWWW[[#This Row],[Location Type 1]]="camp",WWWW[[#This Row],[Total PoP ]]/20),0)</f>
        <v>578</v>
      </c>
      <c r="CB22" s="841">
        <f>IF(WWWW[[#This Row],[Total required Latrines]]-WWWW[[#This Row],['#_Existing_latrines]]&lt;0,0,WWWW[[#This Row],[Total required Latrines]]-WWWW[[#This Row],['#_Existing_latrines]])</f>
        <v>58</v>
      </c>
      <c r="CC22" s="844">
        <f>1-WWWW[[#This Row],[% HRP2]]</f>
        <v>0.23114839156001388</v>
      </c>
      <c r="CD22" s="840">
        <f>IF(WWWW[[#This Row],['#_Existing_latrines]]="","NA",(WWWW[[#This Row],['#_Existing_latrines]]-WWWW[[#This Row],['#_Functional_adult_latrines]])/WWWW[[#This Row],['#_Existing_latrines]])</f>
        <v>0.17307692307692307</v>
      </c>
      <c r="CE22"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2"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2" s="841">
        <f>IF(WWWW[[#This Row],['#_of_affected_women_and_girls_receiving_a_sufficient_quantity_of_sanitary_pads]]&gt;WWWW[[#This Row],[Total PoP ]],WWWW[[#This Row],[Total PoP ]],WWWW[[#This Row],['#_of_affected_women_and_girls_receiving_a_sufficient_quantity_of_sanitary_pads]])</f>
        <v>0</v>
      </c>
      <c r="CH22" s="841">
        <f>IF(WWWW[[#This Row],['# People with access to soap]]&gt;WWWW[[#This Row],['# People with access to Sanity Pads]],WWWW[[#This Row],['# People with access to soap]],WWWW[[#This Row],['# People with access to Sanity Pads]])</f>
        <v>0</v>
      </c>
      <c r="CI22"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2" s="844">
        <f>IF(WWWW[[#This Row],[HRP3]]/WWWW[[#This Row],[Total PoP ]]&gt;100%,100%,WWWW[[#This Row],[HRP3]]/WWWW[[#This Row],[Total PoP ]])</f>
        <v>0</v>
      </c>
      <c r="CK22" s="840">
        <f>1-WWWW[[#This Row],[Hygiene Coverage%]]</f>
        <v>1</v>
      </c>
      <c r="CL22" s="836">
        <f>WWWW[[#This Row],['# people reached by regular dedicated hygiene promotion_5]]/WWWW[[#This Row],[Total PoP ]]</f>
        <v>0</v>
      </c>
      <c r="CM22" s="840">
        <f>IF(WWWW[[#This Row],['#_of_affected_households_receiving_a_sufficient_quantity_of_soap]]/WWWW[[#This Row],[Total HH]]&gt;1,1,WWWW[[#This Row],['#_of_affected_households_receiving_a_sufficient_quantity_of_soap]]/WWWW[[#This Row],[Total HH]])</f>
        <v>0</v>
      </c>
      <c r="CN22" s="458" t="str">
        <f>IF(WWWW[[#This Row],['#_students at TLS_CFS]]="","No","Yes")</f>
        <v>No</v>
      </c>
      <c r="CO22" s="455">
        <f>WWWW[[#This Row],[%_of_affected_people_surveyed_who_report_feeling_informed_about_the_different_WASH_services_available_to_them]]</f>
        <v>0</v>
      </c>
      <c r="CP22"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2" s="503">
        <f>IF(WWWW[[#This Row],['#_PPL_accessed_water_in_TLS]]&gt;WWWW[[#This Row],['# students access to functioning school latrines_HRP5]],WWWW[[#This Row],['#_PPL_accessed_water_in_TLS]],WWWW[[#This Row],['# students access to functioning school latrines_HRP5]])</f>
        <v>2000</v>
      </c>
      <c r="CR22" s="503">
        <f>IF(WWWW[[#This Row],['#_PPL_accessed_water_in_THF]]&gt;WWWW[[#This Row],['# people access to functioning latrines in THF_HRP6]],WWWW[[#This Row],['#_PPL_accessed_water_in_THF]],WWWW[[#This Row],['# people access to functioning latrines in THF_HRP6]])</f>
        <v>0</v>
      </c>
      <c r="CS22" s="832" t="str">
        <f>VLOOKUP(WWWW[[#This Row],[Site Name]],SiteDB6[[Site Name]:[CCCM Management]],6,FALSE)</f>
        <v>Yes</v>
      </c>
      <c r="CT22" s="832">
        <f>VLOOKUP(WWWW[[#This Row],[Site Name]],SiteDB6[[Site Name]:[CCCM Focal Agency]],7,FALSE)</f>
        <v>0</v>
      </c>
      <c r="CU22" s="832" t="str">
        <f>VLOOKUP(WWWW[[#This Row],[Site Name]],SiteDB6[[Site Name]:[Location Type 1]],9,FALSE)</f>
        <v>Camp</v>
      </c>
      <c r="CV22" s="832" t="str">
        <f>VLOOKUP(WWWW[[#This Row],[Site Name]],SiteDB6[[Site Name]:[Type of Accommodation]],10,FALSE)</f>
        <v>Planned Camp</v>
      </c>
      <c r="CW22" s="832" t="str">
        <f>VLOOKUP(WWWW[[#This Row],[Site Name]],SiteDB6[[Site Name]:[Ethnic or GCA/NGCA]],11,FALSE)</f>
        <v>Muslim</v>
      </c>
      <c r="CX22" s="832">
        <f>VLOOKUP(WWWW[[#This Row],[Site Name]],SiteDB6[[Site Name]:[Lat]],12,FALSE)</f>
        <v>20.202525000000001</v>
      </c>
      <c r="CY22" s="832">
        <f>VLOOKUP(WWWW[[#This Row],[Site Name]],SiteDB6[[Site Name]:[Long]],13,FALSE)</f>
        <v>92.792479999999998</v>
      </c>
      <c r="CZ22" s="832" t="str">
        <f>VLOOKUP(WWWW[[#This Row],[Site Name]],SiteDB6[[Site Name]:[Pcode]],3,FALSE)</f>
        <v>MMR012CMP045</v>
      </c>
      <c r="DA22" s="845" t="str">
        <f t="shared" si="0"/>
        <v>Covered</v>
      </c>
      <c r="DB22" s="480">
        <f>VLOOKUP(WWWW[[#This Row],[Site Name]],SiteDB6[[Site Name]:[PWD_Total]],22,FALSE)</f>
        <v>114</v>
      </c>
      <c r="DC22" s="480">
        <f>VLOOKUP(WWWW[[#This Row],[Site Name]],SiteDB6[[Site Name]:[PWD_Total]],23,FALSE)</f>
        <v>1144</v>
      </c>
      <c r="DD22" s="480">
        <f>WWWW[[#This Row],['# of Male_People with disabilities]]+WWWW[[#This Row],['# of Female_People with disabilities]]</f>
        <v>1258</v>
      </c>
      <c r="DE22" s="832"/>
      <c r="DF22" s="845"/>
      <c r="DG22" s="845"/>
      <c r="DH22" s="845"/>
      <c r="DI22" s="845">
        <f>VLOOKUP(WWWW[[#This Row],[Site Name]],SiteDB6[[Site Name]:[Pop
(CCCM as of Autust 2021)]],16,FALSE)</f>
        <v>2678</v>
      </c>
      <c r="DJ22" s="845">
        <f>VLOOKUP(WWWW[[#This Row],[Site Name]],SiteDB6[[Site Name]:[Pop
(CCCM as of Autust 2021)]],17,FALSE)</f>
        <v>14788</v>
      </c>
    </row>
    <row r="23" spans="1:114">
      <c r="A23" s="830" t="s">
        <v>3156</v>
      </c>
      <c r="B23" s="863" t="s">
        <v>2269</v>
      </c>
      <c r="C23" s="863" t="s">
        <v>2269</v>
      </c>
      <c r="D23" s="831" t="s">
        <v>40</v>
      </c>
      <c r="E23" s="863" t="s">
        <v>293</v>
      </c>
      <c r="F23" s="863" t="s">
        <v>294</v>
      </c>
      <c r="G23" s="810" t="s">
        <v>43</v>
      </c>
      <c r="H23" s="831" t="s">
        <v>440</v>
      </c>
      <c r="I23" s="833">
        <v>774</v>
      </c>
      <c r="J23" s="833">
        <v>3095</v>
      </c>
      <c r="K23" s="687">
        <f>WWWW[[#This Row],[Total PoP ]]/WWWW[[#This Row],[Total HH]]</f>
        <v>3.9987080103359172</v>
      </c>
      <c r="L23" s="834">
        <v>44197</v>
      </c>
      <c r="M23" s="835">
        <v>44592</v>
      </c>
      <c r="N23" s="833"/>
      <c r="O23" s="503">
        <v>59</v>
      </c>
      <c r="P23" s="833">
        <v>80</v>
      </c>
      <c r="Q23" s="503"/>
      <c r="R23" s="503"/>
      <c r="S23" s="833"/>
      <c r="T23" s="833"/>
      <c r="U23" s="503"/>
      <c r="V23" s="453"/>
      <c r="W23" s="503"/>
      <c r="X23" s="453"/>
      <c r="Y23" s="833"/>
      <c r="Z23" s="503"/>
      <c r="AA23" s="503"/>
      <c r="AB23" s="837"/>
      <c r="AC23" s="833">
        <v>140</v>
      </c>
      <c r="AD23" s="833">
        <v>187</v>
      </c>
      <c r="AE23" s="833"/>
      <c r="AF23" s="833"/>
      <c r="AG23" s="836"/>
      <c r="AH23" s="836"/>
      <c r="AI23" s="836"/>
      <c r="AJ23" s="833"/>
      <c r="AK23" s="833">
        <v>19</v>
      </c>
      <c r="AL23" s="833">
        <v>2</v>
      </c>
      <c r="AM23" s="503"/>
      <c r="AN23" s="833" t="s">
        <v>41</v>
      </c>
      <c r="AO23" s="838"/>
      <c r="AP23" s="833"/>
      <c r="AQ23" s="833"/>
      <c r="AR23" s="833"/>
      <c r="AS23" s="833"/>
      <c r="AT23" s="833"/>
      <c r="AU23" s="833"/>
      <c r="AV23" s="453"/>
      <c r="AW23" s="836"/>
      <c r="AX23" s="454"/>
      <c r="AY23" s="846"/>
      <c r="AZ23" s="453"/>
      <c r="BA23" s="453"/>
      <c r="BB23" s="453"/>
      <c r="BC23" s="453"/>
      <c r="BD23" s="453"/>
      <c r="BE23" s="503"/>
      <c r="BF23" s="503"/>
      <c r="BG23" s="503"/>
      <c r="BH23" s="857"/>
      <c r="BI23" s="857"/>
      <c r="BJ23" s="854"/>
      <c r="BK23" s="503"/>
      <c r="BL23" s="840" t="str">
        <f>IF(WWWW[[#This Row],['#_Water samples_Tested_at_water_source]]="","no test","Tested")</f>
        <v>no test</v>
      </c>
      <c r="BM23" s="840" t="str">
        <f>IF(WWWW[[#This Row],['#_Water samples_Tested_at_HH]]="","no test","Tested")</f>
        <v>no test</v>
      </c>
      <c r="BN23" s="841" t="str">
        <f>IF(AND(WWWW[[#This Row],[Water_testing_at source]]="no test",WWWW[[#This Row],[Water_testing_at HH]]="no test"),"No Test","Tested")</f>
        <v>No Test</v>
      </c>
      <c r="BO23"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3" s="842">
        <f>WWWW[[#This Row],[% HRP1]]*WWWW[[#This Row],[Total PoP ]]</f>
        <v>3095</v>
      </c>
      <c r="BQ23" s="843">
        <f>WWWW[[#This Row],[HRP1]]/500</f>
        <v>6.19</v>
      </c>
      <c r="BR23" s="844">
        <f>1-WWWW[[#This Row],[% HRP1]]</f>
        <v>0</v>
      </c>
      <c r="BS23" s="843">
        <f>WWWW[[#This Row],[%equitable and continuous access to sufficient quantity of safe drinking and domestic water''s GAP]]*WWWW[[#This Row],[Total PoP ]]</f>
        <v>0</v>
      </c>
      <c r="BT23" s="454">
        <f>ROUND(IF(WWWW[[#This Row],[Total PoP ]]&lt;500,1,WWWW[[#This Row],[Total PoP ]]/500),0)</f>
        <v>6</v>
      </c>
      <c r="BU23" s="841">
        <f>IF(WWWW[[#This Row],[Total required water points]]-WWWW[[#This Row],['#Water points coverage]]&lt;0,0,WWWW[[#This Row],[Total required water points]]-WWWW[[#This Row],['#Water points coverage]])</f>
        <v>0</v>
      </c>
      <c r="BV23" s="455">
        <f>WWWW[[#This Row],[HRP2]]/WWWW[[#This Row],[Total PoP ]]</f>
        <v>0.91082390953150238</v>
      </c>
      <c r="BW23"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2819</v>
      </c>
      <c r="BX23" s="458">
        <f>IF(WWWW[[#This Row],['#_Functional_adult_latrines]]="","",WWWW[[#This Row],[Total PoP ]]/WWWW[[#This Row],['#_Functional_adult_latrines]])</f>
        <v>22.107142857142858</v>
      </c>
      <c r="BY23" s="841">
        <f>WWWW[[#This Row],['#_of_latrines_in_TLS/CFS]]*50</f>
        <v>100</v>
      </c>
      <c r="BZ23" s="454">
        <f>IF(WWWW[[#This Row],['#_of_latrines_in_THF]]="",0,WWWW[[#This Row],['#_of_latrines_in_THF]]*50)</f>
        <v>0</v>
      </c>
      <c r="CA23" s="841">
        <f>ROUND(IF(WWWW[[#This Row],[Location Type 1]]="camp",WWWW[[#This Row],[Total PoP ]]/20),0)</f>
        <v>155</v>
      </c>
      <c r="CB23" s="841">
        <f>IF(WWWW[[#This Row],[Total required Latrines]]-WWWW[[#This Row],['#_Existing_latrines]]&lt;0,0,WWWW[[#This Row],[Total required Latrines]]-WWWW[[#This Row],['#_Existing_latrines]])</f>
        <v>0</v>
      </c>
      <c r="CC23" s="844">
        <f>1-WWWW[[#This Row],[% HRP2]]</f>
        <v>8.9176090468497615E-2</v>
      </c>
      <c r="CD23" s="840">
        <f>IF(WWWW[[#This Row],['#_Existing_latrines]]="","NA",(WWWW[[#This Row],['#_Existing_latrines]]-WWWW[[#This Row],['#_Functional_adult_latrines]])/WWWW[[#This Row],['#_Existing_latrines]])</f>
        <v>0.25133689839572193</v>
      </c>
      <c r="CE23"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3"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3" s="841">
        <f>IF(WWWW[[#This Row],['#_of_affected_women_and_girls_receiving_a_sufficient_quantity_of_sanitary_pads]]&gt;WWWW[[#This Row],[Total PoP ]],WWWW[[#This Row],[Total PoP ]],WWWW[[#This Row],['#_of_affected_women_and_girls_receiving_a_sufficient_quantity_of_sanitary_pads]])</f>
        <v>0</v>
      </c>
      <c r="CH23" s="841">
        <f>IF(WWWW[[#This Row],['# People with access to soap]]&gt;WWWW[[#This Row],['# People with access to Sanity Pads]],WWWW[[#This Row],['# People with access to soap]],WWWW[[#This Row],['# People with access to Sanity Pads]])</f>
        <v>0</v>
      </c>
      <c r="CI23"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3" s="844">
        <f>IF(WWWW[[#This Row],[HRP3]]/WWWW[[#This Row],[Total PoP ]]&gt;100%,100%,WWWW[[#This Row],[HRP3]]/WWWW[[#This Row],[Total PoP ]])</f>
        <v>0</v>
      </c>
      <c r="CK23" s="840">
        <f>1-WWWW[[#This Row],[Hygiene Coverage%]]</f>
        <v>1</v>
      </c>
      <c r="CL23" s="836">
        <f>WWWW[[#This Row],['# people reached by regular dedicated hygiene promotion_5]]/WWWW[[#This Row],[Total PoP ]]</f>
        <v>0</v>
      </c>
      <c r="CM23" s="840">
        <f>IF(WWWW[[#This Row],['#_of_affected_households_receiving_a_sufficient_quantity_of_soap]]/WWWW[[#This Row],[Total HH]]&gt;1,1,WWWW[[#This Row],['#_of_affected_households_receiving_a_sufficient_quantity_of_soap]]/WWWW[[#This Row],[Total HH]])</f>
        <v>0</v>
      </c>
      <c r="CN23" s="458" t="str">
        <f>IF(WWWW[[#This Row],['#_students at TLS_CFS]]="","No","Yes")</f>
        <v>No</v>
      </c>
      <c r="CO23" s="455">
        <f>WWWW[[#This Row],[%_of_affected_people_surveyed_who_report_feeling_informed_about_the_different_WASH_services_available_to_them]]</f>
        <v>0</v>
      </c>
      <c r="CP23"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3" s="503">
        <f>IF(WWWW[[#This Row],['#_PPL_accessed_water_in_TLS]]&gt;WWWW[[#This Row],['# students access to functioning school latrines_HRP5]],WWWW[[#This Row],['#_PPL_accessed_water_in_TLS]],WWWW[[#This Row],['# students access to functioning school latrines_HRP5]])</f>
        <v>100</v>
      </c>
      <c r="CR23" s="503">
        <f>IF(WWWW[[#This Row],['#_PPL_accessed_water_in_THF]]&gt;WWWW[[#This Row],['# people access to functioning latrines in THF_HRP6]],WWWW[[#This Row],['#_PPL_accessed_water_in_THF]],WWWW[[#This Row],['# people access to functioning latrines in THF_HRP6]])</f>
        <v>0</v>
      </c>
      <c r="CS23" s="832" t="str">
        <f>VLOOKUP(WWWW[[#This Row],[Site Name]],SiteDB6[[Site Name]:[CCCM Management]],6,FALSE)</f>
        <v>Yes</v>
      </c>
      <c r="CT23" s="832">
        <f>VLOOKUP(WWWW[[#This Row],[Site Name]],SiteDB6[[Site Name]:[CCCM Focal Agency]],7,FALSE)</f>
        <v>0</v>
      </c>
      <c r="CU23" s="832" t="str">
        <f>VLOOKUP(WWWW[[#This Row],[Site Name]],SiteDB6[[Site Name]:[Location Type 1]],9,FALSE)</f>
        <v>Camp</v>
      </c>
      <c r="CV23" s="832" t="str">
        <f>VLOOKUP(WWWW[[#This Row],[Site Name]],SiteDB6[[Site Name]:[Type of Accommodation]],10,FALSE)</f>
        <v>Planned Camp</v>
      </c>
      <c r="CW23" s="832" t="str">
        <f>VLOOKUP(WWWW[[#This Row],[Site Name]],SiteDB6[[Site Name]:[Ethnic or GCA/NGCA]],11,FALSE)</f>
        <v>Muslim</v>
      </c>
      <c r="CX23" s="832">
        <f>VLOOKUP(WWWW[[#This Row],[Site Name]],SiteDB6[[Site Name]:[Lat]],12,FALSE)</f>
        <v>20.206778</v>
      </c>
      <c r="CY23" s="832">
        <f>VLOOKUP(WWWW[[#This Row],[Site Name]],SiteDB6[[Site Name]:[Long]],13,FALSE)</f>
        <v>92.774193999999994</v>
      </c>
      <c r="CZ23" s="832" t="str">
        <f>VLOOKUP(WWWW[[#This Row],[Site Name]],SiteDB6[[Site Name]:[Pcode]],3,FALSE)</f>
        <v>MMR012CMP098</v>
      </c>
      <c r="DA23" s="845" t="str">
        <f t="shared" si="0"/>
        <v>Covered</v>
      </c>
      <c r="DB23" s="480">
        <f>VLOOKUP(WWWW[[#This Row],[Site Name]],SiteDB6[[Site Name]:[PWD_Total]],22,FALSE)</f>
        <v>42</v>
      </c>
      <c r="DC23" s="480">
        <f>VLOOKUP(WWWW[[#This Row],[Site Name]],SiteDB6[[Site Name]:[PWD_Total]],23,FALSE)</f>
        <v>432</v>
      </c>
      <c r="DD23" s="480">
        <f>WWWW[[#This Row],['# of Male_People with disabilities]]+WWWW[[#This Row],['# of Female_People with disabilities]]</f>
        <v>474</v>
      </c>
      <c r="DE23" s="832"/>
      <c r="DF23" s="845"/>
      <c r="DG23" s="845"/>
      <c r="DH23" s="845"/>
      <c r="DI23" s="845">
        <f>VLOOKUP(WWWW[[#This Row],[Site Name]],SiteDB6[[Site Name]:[Pop
(CCCM as of Autust 2021)]],16,FALSE)</f>
        <v>777</v>
      </c>
      <c r="DJ23" s="845">
        <f>VLOOKUP(WWWW[[#This Row],[Site Name]],SiteDB6[[Site Name]:[Pop
(CCCM as of Autust 2021)]],17,FALSE)</f>
        <v>4735</v>
      </c>
    </row>
    <row r="24" spans="1:114">
      <c r="A24" s="830" t="s">
        <v>3156</v>
      </c>
      <c r="B24" s="862" t="s">
        <v>265</v>
      </c>
      <c r="C24" s="862" t="s">
        <v>265</v>
      </c>
      <c r="D24" s="863" t="s">
        <v>2989</v>
      </c>
      <c r="E24" s="831" t="s">
        <v>293</v>
      </c>
      <c r="F24" s="831" t="s">
        <v>401</v>
      </c>
      <c r="G24" s="864" t="s">
        <v>43</v>
      </c>
      <c r="H24" s="831" t="s">
        <v>406</v>
      </c>
      <c r="I24" s="865">
        <v>1064</v>
      </c>
      <c r="J24" s="865">
        <v>5137</v>
      </c>
      <c r="K24" s="687">
        <f>WWWW[[#This Row],[Total PoP ]]/WWWW[[#This Row],[Total HH]]</f>
        <v>4.8280075187969924</v>
      </c>
      <c r="L24" s="866">
        <v>43525</v>
      </c>
      <c r="M24" s="867">
        <v>44620</v>
      </c>
      <c r="N24" s="865"/>
      <c r="O24" s="503"/>
      <c r="P24" s="865"/>
      <c r="Q24" s="503">
        <v>7</v>
      </c>
      <c r="R24" s="503">
        <v>7</v>
      </c>
      <c r="S24" s="865"/>
      <c r="T24" s="865">
        <v>5137</v>
      </c>
      <c r="U24" s="865"/>
      <c r="V24" s="868"/>
      <c r="W24" s="865"/>
      <c r="X24" s="868"/>
      <c r="Y24" s="865"/>
      <c r="Z24" s="503"/>
      <c r="AA24" s="503"/>
      <c r="AB24" s="869"/>
      <c r="AC24" s="865">
        <v>148</v>
      </c>
      <c r="AD24" s="865">
        <v>189</v>
      </c>
      <c r="AE24" s="865"/>
      <c r="AF24" s="865"/>
      <c r="AG24" s="868">
        <v>0.99</v>
      </c>
      <c r="AH24" s="868">
        <v>0.98</v>
      </c>
      <c r="AI24" s="868">
        <v>0.98</v>
      </c>
      <c r="AJ24" s="865">
        <v>34</v>
      </c>
      <c r="AK24" s="865">
        <v>80</v>
      </c>
      <c r="AL24" s="865"/>
      <c r="AM24" s="503">
        <v>3</v>
      </c>
      <c r="AN24" s="865" t="s">
        <v>41</v>
      </c>
      <c r="AO24" s="870" t="s">
        <v>3164</v>
      </c>
      <c r="AP24" s="865">
        <v>1051</v>
      </c>
      <c r="AQ24" s="865">
        <v>1120</v>
      </c>
      <c r="AR24" s="865">
        <v>1582</v>
      </c>
      <c r="AS24" s="865">
        <v>1384</v>
      </c>
      <c r="AT24" s="865">
        <v>1064</v>
      </c>
      <c r="AU24" s="865">
        <v>2128</v>
      </c>
      <c r="AV24" s="453"/>
      <c r="AW24" s="868">
        <v>0.79</v>
      </c>
      <c r="AX24" s="454"/>
      <c r="AY24" s="871" t="s">
        <v>3168</v>
      </c>
      <c r="AZ24" s="453">
        <v>0.99</v>
      </c>
      <c r="BA24" s="453">
        <v>0.98</v>
      </c>
      <c r="BB24" s="453">
        <v>0.96</v>
      </c>
      <c r="BC24" s="453">
        <v>1</v>
      </c>
      <c r="BD24" s="453"/>
      <c r="BE24" s="503"/>
      <c r="BF24" s="503"/>
      <c r="BG24" s="503"/>
      <c r="BH24" s="503"/>
      <c r="BI24" s="503"/>
      <c r="BJ24" s="503"/>
      <c r="BK24" s="503"/>
      <c r="BL24" s="872" t="str">
        <f>IF(WWWW[[#This Row],['#_Water samples_Tested_at_water_source]]="","no test","Tested")</f>
        <v>no test</v>
      </c>
      <c r="BM24" s="872" t="str">
        <f>IF(WWWW[[#This Row],['#_Water samples_Tested_at_HH]]="","no test","Tested")</f>
        <v>no test</v>
      </c>
      <c r="BN24" s="873" t="str">
        <f>IF(AND(WWWW[[#This Row],[Water_testing_at source]]="no test",WWWW[[#This Row],[Water_testing_at HH]]="no test"),"No Test","Tested")</f>
        <v>No Test</v>
      </c>
      <c r="BO24"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4" s="874">
        <f>WWWW[[#This Row],[% HRP1]]*WWWW[[#This Row],[Total PoP ]]</f>
        <v>5137</v>
      </c>
      <c r="BQ24" s="875">
        <f>WWWW[[#This Row],[HRP1]]/500</f>
        <v>10.273999999999999</v>
      </c>
      <c r="BR24" s="876">
        <f>1-WWWW[[#This Row],[% HRP1]]</f>
        <v>0</v>
      </c>
      <c r="BS24" s="875">
        <f>WWWW[[#This Row],[%equitable and continuous access to sufficient quantity of safe drinking and domestic water''s GAP]]*WWWW[[#This Row],[Total PoP ]]</f>
        <v>0</v>
      </c>
      <c r="BT24" s="454">
        <f>ROUND(IF(WWWW[[#This Row],[Total PoP ]]&lt;500,1,WWWW[[#This Row],[Total PoP ]]/500),0)</f>
        <v>10</v>
      </c>
      <c r="BU24" s="873">
        <f>IF(WWWW[[#This Row],[Total required water points]]-WWWW[[#This Row],['#Water points coverage]]&lt;0,0,WWWW[[#This Row],[Total required water points]]-WWWW[[#This Row],['#Water points coverage]])</f>
        <v>0</v>
      </c>
      <c r="BV24" s="455">
        <f>WWWW[[#This Row],[HRP2]]/WWWW[[#This Row],[Total PoP ]]</f>
        <v>0.72415806891181622</v>
      </c>
      <c r="BW24"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3720</v>
      </c>
      <c r="BX24" s="458">
        <f>IF(WWWW[[#This Row],['#_Functional_adult_latrines]]="","",WWWW[[#This Row],[Total PoP ]]/WWWW[[#This Row],['#_Functional_adult_latrines]])</f>
        <v>34.70945945945946</v>
      </c>
      <c r="BY24" s="873">
        <f>WWWW[[#This Row],['#_of_latrines_in_TLS/CFS]]*50</f>
        <v>0</v>
      </c>
      <c r="BZ24" s="454">
        <f>IF(WWWW[[#This Row],['#_of_latrines_in_THF]]="",0,WWWW[[#This Row],['#_of_latrines_in_THF]]*50)</f>
        <v>150</v>
      </c>
      <c r="CA24" s="873">
        <f>ROUND(IF(WWWW[[#This Row],[Location Type 1]]="camp",WWWW[[#This Row],[Total PoP ]]/20),0)</f>
        <v>257</v>
      </c>
      <c r="CB24" s="873">
        <f>IF(WWWW[[#This Row],[Total required Latrines]]-WWWW[[#This Row],['#_Existing_latrines]]&lt;0,0,WWWW[[#This Row],[Total required Latrines]]-WWWW[[#This Row],['#_Existing_latrines]])</f>
        <v>68</v>
      </c>
      <c r="CC24" s="876">
        <f>1-WWWW[[#This Row],[% HRP2]]</f>
        <v>0.27584193108818378</v>
      </c>
      <c r="CD24" s="872">
        <f>IF(WWWW[[#This Row],['#_Existing_latrines]]="","NA",(WWWW[[#This Row],['#_Existing_latrines]]-WWWW[[#This Row],['#_Functional_adult_latrines]])/WWWW[[#This Row],['#_Existing_latrines]])</f>
        <v>0.21693121693121692</v>
      </c>
      <c r="CE24"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24"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24" s="873">
        <f>IF(WWWW[[#This Row],['#_of_affected_women_and_girls_receiving_a_sufficient_quantity_of_sanitary_pads]]&gt;WWWW[[#This Row],[Total PoP ]],WWWW[[#This Row],[Total PoP ]],WWWW[[#This Row],['#_of_affected_women_and_girls_receiving_a_sufficient_quantity_of_sanitary_pads]])</f>
        <v>2128</v>
      </c>
      <c r="CH24" s="873">
        <f>IF(WWWW[[#This Row],['# People with access to soap]]&gt;WWWW[[#This Row],['# People with access to Sanity Pads]],WWWW[[#This Row],['# People with access to soap]],WWWW[[#This Row],['# People with access to Sanity Pads]])</f>
        <v>5137</v>
      </c>
      <c r="CI24" s="873">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24" s="876">
        <f>IF(WWWW[[#This Row],[HRP3]]/WWWW[[#This Row],[Total PoP ]]&gt;100%,100%,WWWW[[#This Row],[HRP3]]/WWWW[[#This Row],[Total PoP ]])</f>
        <v>1</v>
      </c>
      <c r="CK24" s="872">
        <f>1-WWWW[[#This Row],[Hygiene Coverage%]]</f>
        <v>0</v>
      </c>
      <c r="CL24" s="868">
        <f>WWWW[[#This Row],['# people reached by regular dedicated hygiene promotion_5]]/WWWW[[#This Row],[Total PoP ]]</f>
        <v>1</v>
      </c>
      <c r="CM24" s="872">
        <f>IF(WWWW[[#This Row],['#_of_affected_households_receiving_a_sufficient_quantity_of_soap]]/WWWW[[#This Row],[Total HH]]&gt;1,1,WWWW[[#This Row],['#_of_affected_households_receiving_a_sufficient_quantity_of_soap]]/WWWW[[#This Row],[Total HH]])</f>
        <v>1</v>
      </c>
      <c r="CN24" s="458" t="str">
        <f>IF(WWWW[[#This Row],['#_students at TLS_CFS]]="","No","Yes")</f>
        <v>No</v>
      </c>
      <c r="CO24" s="455">
        <f>WWWW[[#This Row],[%_of_affected_people_surveyed_who_report_feeling_informed_about_the_different_WASH_services_available_to_them]]</f>
        <v>0.96</v>
      </c>
      <c r="CP24"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4" s="503">
        <f>IF(WWWW[[#This Row],['#_PPL_accessed_water_in_TLS]]&gt;WWWW[[#This Row],['# students access to functioning school latrines_HRP5]],WWWW[[#This Row],['#_PPL_accessed_water_in_TLS]],WWWW[[#This Row],['# students access to functioning school latrines_HRP5]])</f>
        <v>0</v>
      </c>
      <c r="CR24" s="503">
        <f>IF(WWWW[[#This Row],['#_PPL_accessed_water_in_THF]]&gt;WWWW[[#This Row],['# people access to functioning latrines in THF_HRP6]],WWWW[[#This Row],['#_PPL_accessed_water_in_THF]],WWWW[[#This Row],['# people access to functioning latrines in THF_HRP6]])</f>
        <v>150</v>
      </c>
      <c r="CS24" s="864" t="str">
        <f>VLOOKUP(WWWW[[#This Row],[Site Name]],SiteDB6[[Site Name]:[CCCM Management]],6,FALSE)</f>
        <v>Yes</v>
      </c>
      <c r="CT24" s="864" t="str">
        <f>VLOOKUP(WWWW[[#This Row],[Site Name]],SiteDB6[[Site Name]:[CCCM Focal Agency]],7,FALSE)</f>
        <v>LWF</v>
      </c>
      <c r="CU24" s="864" t="str">
        <f>VLOOKUP(WWWW[[#This Row],[Site Name]],SiteDB6[[Site Name]:[Location Type 1]],9,FALSE)</f>
        <v>Camp</v>
      </c>
      <c r="CV24" s="864" t="str">
        <f>VLOOKUP(WWWW[[#This Row],[Site Name]],SiteDB6[[Site Name]:[Type of Accommodation]],10,FALSE)</f>
        <v>Planned Camp</v>
      </c>
      <c r="CW24" s="864" t="str">
        <f>VLOOKUP(WWWW[[#This Row],[Site Name]],SiteDB6[[Site Name]:[Ethnic or GCA/NGCA]],11,FALSE)</f>
        <v>Muslim</v>
      </c>
      <c r="CX24" s="864">
        <f>VLOOKUP(WWWW[[#This Row],[Site Name]],SiteDB6[[Site Name]:[Lat]],12,FALSE)</f>
        <v>20.073437999999999</v>
      </c>
      <c r="CY24" s="864">
        <f>VLOOKUP(WWWW[[#This Row],[Site Name]],SiteDB6[[Site Name]:[Long]],13,FALSE)</f>
        <v>93.154551999999995</v>
      </c>
      <c r="CZ24" s="864" t="str">
        <f>VLOOKUP(WWWW[[#This Row],[Site Name]],SiteDB6[[Site Name]:[Pcode]],3,FALSE)</f>
        <v>MMR012CMP017</v>
      </c>
      <c r="DA24" s="877" t="str">
        <f t="shared" si="0"/>
        <v>Covered</v>
      </c>
      <c r="DB24" s="480"/>
      <c r="DC24" s="480"/>
      <c r="DD24" s="480">
        <f>WWWW[[#This Row],['# of Male_People with disabilities]]+WWWW[[#This Row],['# of Female_People with disabilities]]</f>
        <v>0</v>
      </c>
      <c r="DE24" s="864"/>
      <c r="DF24" s="877"/>
      <c r="DG24" s="877"/>
      <c r="DH24" s="877"/>
      <c r="DI24" s="877">
        <f>VLOOKUP(WWWW[[#This Row],[Site Name]],SiteDB6[[Site Name]:[Pop
(CCCM as of Autust 2021)]],16,FALSE)</f>
        <v>982</v>
      </c>
      <c r="DJ24" s="877">
        <f>VLOOKUP(WWWW[[#This Row],[Site Name]],SiteDB6[[Site Name]:[Pop
(CCCM as of Autust 2021)]],17,FALSE)</f>
        <v>4828</v>
      </c>
    </row>
    <row r="25" spans="1:114">
      <c r="A25" s="830" t="s">
        <v>3156</v>
      </c>
      <c r="B25" s="862" t="s">
        <v>286</v>
      </c>
      <c r="C25" s="862" t="s">
        <v>286</v>
      </c>
      <c r="D25" s="863" t="s">
        <v>3009</v>
      </c>
      <c r="E25" s="831" t="s">
        <v>293</v>
      </c>
      <c r="F25" s="831" t="s">
        <v>401</v>
      </c>
      <c r="G25" s="864" t="s">
        <v>43</v>
      </c>
      <c r="H25" s="831" t="s">
        <v>404</v>
      </c>
      <c r="I25" s="865">
        <v>729</v>
      </c>
      <c r="J25" s="865">
        <v>2516</v>
      </c>
      <c r="K25" s="687">
        <f>WWWW[[#This Row],[Total PoP ]]/WWWW[[#This Row],[Total HH]]</f>
        <v>3.4513031550068587</v>
      </c>
      <c r="L25" s="866">
        <v>44348</v>
      </c>
      <c r="M25" s="867">
        <v>44712</v>
      </c>
      <c r="N25" s="865"/>
      <c r="O25" s="503"/>
      <c r="P25" s="865"/>
      <c r="Q25" s="503">
        <v>15</v>
      </c>
      <c r="R25" s="503">
        <v>16</v>
      </c>
      <c r="S25" s="865"/>
      <c r="T25" s="865">
        <v>2516</v>
      </c>
      <c r="U25" s="865"/>
      <c r="V25" s="868"/>
      <c r="W25" s="865"/>
      <c r="X25" s="868"/>
      <c r="Y25" s="865"/>
      <c r="Z25" s="503"/>
      <c r="AA25" s="503"/>
      <c r="AB25" s="869" t="s">
        <v>3169</v>
      </c>
      <c r="AC25" s="865">
        <v>362</v>
      </c>
      <c r="AD25" s="865">
        <v>358</v>
      </c>
      <c r="AE25" s="865">
        <v>87</v>
      </c>
      <c r="AF25" s="865">
        <v>119</v>
      </c>
      <c r="AG25" s="868"/>
      <c r="AH25" s="868"/>
      <c r="AI25" s="868"/>
      <c r="AJ25" s="865">
        <v>1</v>
      </c>
      <c r="AK25" s="865"/>
      <c r="AL25" s="865"/>
      <c r="AM25" s="503"/>
      <c r="AN25" s="865" t="s">
        <v>41</v>
      </c>
      <c r="AO25" s="870"/>
      <c r="AP25" s="865">
        <v>1125</v>
      </c>
      <c r="AQ25" s="865">
        <v>1725</v>
      </c>
      <c r="AR25" s="865">
        <v>372</v>
      </c>
      <c r="AS25" s="865">
        <v>446</v>
      </c>
      <c r="AT25" s="865">
        <v>729</v>
      </c>
      <c r="AU25" s="865">
        <v>771</v>
      </c>
      <c r="AV25" s="453">
        <v>1</v>
      </c>
      <c r="AW25" s="868"/>
      <c r="AX25" s="454"/>
      <c r="AY25" s="871"/>
      <c r="AZ25" s="453"/>
      <c r="BA25" s="453"/>
      <c r="BB25" s="453"/>
      <c r="BC25" s="453"/>
      <c r="BD25" s="453"/>
      <c r="BE25" s="503"/>
      <c r="BF25" s="503"/>
      <c r="BG25" s="503"/>
      <c r="BH25" s="503"/>
      <c r="BI25" s="503"/>
      <c r="BJ25" s="503"/>
      <c r="BK25" s="503"/>
      <c r="BL25" s="872" t="str">
        <f>IF(WWWW[[#This Row],['#_Water samples_Tested_at_water_source]]="","no test","Tested")</f>
        <v>no test</v>
      </c>
      <c r="BM25" s="872" t="str">
        <f>IF(WWWW[[#This Row],['#_Water samples_Tested_at_HH]]="","no test","Tested")</f>
        <v>no test</v>
      </c>
      <c r="BN25" s="873" t="str">
        <f>IF(AND(WWWW[[#This Row],[Water_testing_at source]]="no test",WWWW[[#This Row],[Water_testing_at HH]]="no test"),"No Test","Tested")</f>
        <v>No Test</v>
      </c>
      <c r="BO25" s="872">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5" s="874">
        <f>WWWW[[#This Row],[% HRP1]]*WWWW[[#This Row],[Total PoP ]]</f>
        <v>2516</v>
      </c>
      <c r="BQ25" s="875">
        <f>WWWW[[#This Row],[HRP1]]/500</f>
        <v>5.032</v>
      </c>
      <c r="BR25" s="876">
        <f>1-WWWW[[#This Row],[% HRP1]]</f>
        <v>0</v>
      </c>
      <c r="BS25" s="875">
        <f>WWWW[[#This Row],[%equitable and continuous access to sufficient quantity of safe drinking and domestic water''s GAP]]*WWWW[[#This Row],[Total PoP ]]</f>
        <v>0</v>
      </c>
      <c r="BT25" s="454">
        <f>ROUND(IF(WWWW[[#This Row],[Total PoP ]]&lt;500,1,WWWW[[#This Row],[Total PoP ]]/500),0)</f>
        <v>5</v>
      </c>
      <c r="BU25" s="873">
        <f>IF(WWWW[[#This Row],[Total required water points]]-WWWW[[#This Row],['#Water points coverage]]&lt;0,0,WWWW[[#This Row],[Total required water points]]-WWWW[[#This Row],['#Water points coverage]])</f>
        <v>0</v>
      </c>
      <c r="BV25" s="455">
        <f>WWWW[[#This Row],[HRP2]]/WWWW[[#This Row],[Total PoP ]]</f>
        <v>1</v>
      </c>
      <c r="BW25" s="87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BX25" s="458">
        <f>IF(WWWW[[#This Row],['#_Functional_adult_latrines]]="","",WWWW[[#This Row],[Total PoP ]]/WWWW[[#This Row],['#_Functional_adult_latrines]])</f>
        <v>6.9502762430939224</v>
      </c>
      <c r="BY25" s="873">
        <f>WWWW[[#This Row],['#_of_latrines_in_TLS/CFS]]*50</f>
        <v>0</v>
      </c>
      <c r="BZ25" s="454">
        <f>IF(WWWW[[#This Row],['#_of_latrines_in_THF]]="",0,WWWW[[#This Row],['#_of_latrines_in_THF]]*50)</f>
        <v>0</v>
      </c>
      <c r="CA25" s="873">
        <f>ROUND(IF(WWWW[[#This Row],[Location Type 1]]="camp",WWWW[[#This Row],[Total PoP ]]/20),0)</f>
        <v>126</v>
      </c>
      <c r="CB25" s="873">
        <f>IF(WWWW[[#This Row],[Total required Latrines]]-WWWW[[#This Row],['#_Existing_latrines]]&lt;0,0,WWWW[[#This Row],[Total required Latrines]]-WWWW[[#This Row],['#_Existing_latrines]])</f>
        <v>0</v>
      </c>
      <c r="CC25" s="876">
        <f>1-WWWW[[#This Row],[% HRP2]]</f>
        <v>0</v>
      </c>
      <c r="CD25" s="872">
        <f>IF(WWWW[[#This Row],['#_Existing_latrines]]="","NA",(WWWW[[#This Row],['#_Existing_latrines]]-WWWW[[#This Row],['#_Functional_adult_latrines]])/WWWW[[#This Row],['#_Existing_latrines]])</f>
        <v>-1.11731843575419E-2</v>
      </c>
      <c r="CE25" s="875">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3668</v>
      </c>
      <c r="CF25" s="87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G25" s="873">
        <f>IF(WWWW[[#This Row],['#_of_affected_women_and_girls_receiving_a_sufficient_quantity_of_sanitary_pads]]&gt;WWWW[[#This Row],[Total PoP ]],WWWW[[#This Row],[Total PoP ]],WWWW[[#This Row],['#_of_affected_women_and_girls_receiving_a_sufficient_quantity_of_sanitary_pads]])</f>
        <v>771</v>
      </c>
      <c r="CH25" s="873">
        <f>IF(WWWW[[#This Row],['# People with access to soap]]&gt;WWWW[[#This Row],['# People with access to Sanity Pads]],WWWW[[#This Row],['# People with access to soap]],WWWW[[#This Row],['# People with access to Sanity Pads]])</f>
        <v>2516</v>
      </c>
      <c r="CI25" s="873">
        <f>IF(WWWW[[#This Row],['# people reached by regular dedicated hygiene promotion_5]]&gt;WWWW[[#This Row],['# People received regular supply of hygiene items_6]],WWWW[[#This Row],['# people reached by regular dedicated hygiene promotion_5]],WWWW[[#This Row],['# People received regular supply of hygiene items_6]])</f>
        <v>3668</v>
      </c>
      <c r="CJ25" s="876">
        <f>IF(WWWW[[#This Row],[HRP3]]/WWWW[[#This Row],[Total PoP ]]&gt;100%,100%,WWWW[[#This Row],[HRP3]]/WWWW[[#This Row],[Total PoP ]])</f>
        <v>1</v>
      </c>
      <c r="CK25" s="872">
        <f>1-WWWW[[#This Row],[Hygiene Coverage%]]</f>
        <v>0</v>
      </c>
      <c r="CL25" s="868">
        <f>WWWW[[#This Row],['# people reached by regular dedicated hygiene promotion_5]]/WWWW[[#This Row],[Total PoP ]]</f>
        <v>1.4578696343402227</v>
      </c>
      <c r="CM25" s="872">
        <f>IF(WWWW[[#This Row],['#_of_affected_households_receiving_a_sufficient_quantity_of_soap]]/WWWW[[#This Row],[Total HH]]&gt;1,1,WWWW[[#This Row],['#_of_affected_households_receiving_a_sufficient_quantity_of_soap]]/WWWW[[#This Row],[Total HH]])</f>
        <v>1</v>
      </c>
      <c r="CN25" s="458" t="str">
        <f>IF(WWWW[[#This Row],['#_students at TLS_CFS]]="","No","Yes")</f>
        <v>No</v>
      </c>
      <c r="CO25" s="455">
        <f>WWWW[[#This Row],[%_of_affected_people_surveyed_who_report_feeling_informed_about_the_different_WASH_services_available_to_them]]</f>
        <v>0</v>
      </c>
      <c r="CP25"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5" s="503">
        <f>IF(WWWW[[#This Row],['#_PPL_accessed_water_in_TLS]]&gt;WWWW[[#This Row],['# students access to functioning school latrines_HRP5]],WWWW[[#This Row],['#_PPL_accessed_water_in_TLS]],WWWW[[#This Row],['# students access to functioning school latrines_HRP5]])</f>
        <v>0</v>
      </c>
      <c r="CR25" s="503">
        <f>IF(WWWW[[#This Row],['#_PPL_accessed_water_in_THF]]&gt;WWWW[[#This Row],['# people access to functioning latrines in THF_HRP6]],WWWW[[#This Row],['#_PPL_accessed_water_in_THF]],WWWW[[#This Row],['# people access to functioning latrines in THF_HRP6]])</f>
        <v>0</v>
      </c>
      <c r="CS25" s="864" t="str">
        <f>VLOOKUP(WWWW[[#This Row],[Site Name]],SiteDB6[[Site Name]:[CCCM Management]],6,FALSE)</f>
        <v>Yes</v>
      </c>
      <c r="CT25" s="864" t="str">
        <f>VLOOKUP(WWWW[[#This Row],[Site Name]],SiteDB6[[Site Name]:[CCCM Focal Agency]],7,FALSE)</f>
        <v>DRC</v>
      </c>
      <c r="CU25" s="864" t="str">
        <f>VLOOKUP(WWWW[[#This Row],[Site Name]],SiteDB6[[Site Name]:[Location Type 1]],9,FALSE)</f>
        <v>Camp</v>
      </c>
      <c r="CV25" s="864" t="str">
        <f>VLOOKUP(WWWW[[#This Row],[Site Name]],SiteDB6[[Site Name]:[Type of Accommodation]],10,FALSE)</f>
        <v>Planned Camp</v>
      </c>
      <c r="CW25" s="864" t="str">
        <f>VLOOKUP(WWWW[[#This Row],[Site Name]],SiteDB6[[Site Name]:[Ethnic or GCA/NGCA]],11,FALSE)</f>
        <v>Muslim</v>
      </c>
      <c r="CX25" s="864">
        <f>VLOOKUP(WWWW[[#This Row],[Site Name]],SiteDB6[[Site Name]:[Lat]],12,FALSE)</f>
        <v>20.064226000000001</v>
      </c>
      <c r="CY25" s="864">
        <f>VLOOKUP(WWWW[[#This Row],[Site Name]],SiteDB6[[Site Name]:[Long]],13,FALSE)</f>
        <v>92.993758999999997</v>
      </c>
      <c r="CZ25" s="864" t="str">
        <f>VLOOKUP(WWWW[[#This Row],[Site Name]],SiteDB6[[Site Name]:[Pcode]],3,FALSE)</f>
        <v>MMR012CMP019</v>
      </c>
      <c r="DA25" s="877" t="str">
        <f t="shared" si="0"/>
        <v>Covered</v>
      </c>
      <c r="DB25" s="480"/>
      <c r="DC25" s="480"/>
      <c r="DD25" s="480">
        <f>WWWW[[#This Row],['# of Male_People with disabilities]]+WWWW[[#This Row],['# of Female_People with disabilities]]</f>
        <v>0</v>
      </c>
      <c r="DE25" s="864"/>
      <c r="DF25" s="877"/>
      <c r="DG25" s="877"/>
      <c r="DH25" s="877"/>
      <c r="DI25" s="877">
        <f>VLOOKUP(WWWW[[#This Row],[Site Name]],SiteDB6[[Site Name]:[Pop
(CCCM as of Autust 2021)]],16,FALSE)</f>
        <v>682</v>
      </c>
      <c r="DJ25" s="877">
        <f>VLOOKUP(WWWW[[#This Row],[Site Name]],SiteDB6[[Site Name]:[Pop
(CCCM as of Autust 2021)]],17,FALSE)</f>
        <v>2588</v>
      </c>
    </row>
    <row r="26" spans="1:114">
      <c r="A26" s="830" t="s">
        <v>3156</v>
      </c>
      <c r="B26" s="863" t="s">
        <v>2269</v>
      </c>
      <c r="C26" s="863" t="s">
        <v>2269</v>
      </c>
      <c r="D26" s="831" t="s">
        <v>40</v>
      </c>
      <c r="E26" s="863" t="s">
        <v>293</v>
      </c>
      <c r="F26" s="863" t="s">
        <v>294</v>
      </c>
      <c r="G26" s="810" t="s">
        <v>43</v>
      </c>
      <c r="H26" s="831" t="s">
        <v>431</v>
      </c>
      <c r="I26" s="833">
        <v>2728</v>
      </c>
      <c r="J26" s="833">
        <v>13302</v>
      </c>
      <c r="K26" s="687">
        <f>WWWW[[#This Row],[Total PoP ]]/WWWW[[#This Row],[Total HH]]</f>
        <v>4.8760997067448679</v>
      </c>
      <c r="L26" s="834">
        <v>44197</v>
      </c>
      <c r="M26" s="835">
        <v>44592</v>
      </c>
      <c r="N26" s="833"/>
      <c r="O26" s="503">
        <v>205</v>
      </c>
      <c r="P26" s="833">
        <v>226</v>
      </c>
      <c r="Q26" s="503"/>
      <c r="R26" s="503"/>
      <c r="S26" s="833"/>
      <c r="T26" s="833"/>
      <c r="U26" s="503"/>
      <c r="V26" s="453"/>
      <c r="W26" s="503"/>
      <c r="X26" s="453"/>
      <c r="Y26" s="833"/>
      <c r="Z26" s="503"/>
      <c r="AA26" s="503"/>
      <c r="AB26" s="837"/>
      <c r="AC26" s="833">
        <v>546</v>
      </c>
      <c r="AD26" s="833">
        <v>689</v>
      </c>
      <c r="AE26" s="833"/>
      <c r="AF26" s="833"/>
      <c r="AG26" s="836"/>
      <c r="AH26" s="836"/>
      <c r="AI26" s="836"/>
      <c r="AJ26" s="833">
        <v>20</v>
      </c>
      <c r="AK26" s="833">
        <v>120</v>
      </c>
      <c r="AL26" s="833">
        <v>34</v>
      </c>
      <c r="AM26" s="503"/>
      <c r="AN26" s="833" t="s">
        <v>41</v>
      </c>
      <c r="AO26" s="838"/>
      <c r="AP26" s="833"/>
      <c r="AQ26" s="833"/>
      <c r="AR26" s="833"/>
      <c r="AS26" s="833"/>
      <c r="AT26" s="833"/>
      <c r="AU26" s="833"/>
      <c r="AV26" s="453"/>
      <c r="AW26" s="836"/>
      <c r="AX26" s="454">
        <v>2</v>
      </c>
      <c r="AY26" s="846"/>
      <c r="AZ26" s="453"/>
      <c r="BA26" s="453"/>
      <c r="BB26" s="453"/>
      <c r="BC26" s="453"/>
      <c r="BD26" s="453"/>
      <c r="BE26" s="503"/>
      <c r="BF26" s="503"/>
      <c r="BG26" s="503"/>
      <c r="BH26" s="857"/>
      <c r="BI26" s="857"/>
      <c r="BJ26" s="854"/>
      <c r="BK26" s="503"/>
      <c r="BL26" s="840" t="str">
        <f>IF(WWWW[[#This Row],['#_Water samples_Tested_at_water_source]]="","no test","Tested")</f>
        <v>no test</v>
      </c>
      <c r="BM26" s="840" t="str">
        <f>IF(WWWW[[#This Row],['#_Water samples_Tested_at_HH]]="","no test","Tested")</f>
        <v>no test</v>
      </c>
      <c r="BN26" s="841" t="str">
        <f>IF(AND(WWWW[[#This Row],[Water_testing_at source]]="no test",WWWW[[#This Row],[Water_testing_at HH]]="no test"),"No Test","Tested")</f>
        <v>No Test</v>
      </c>
      <c r="BO26"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6" s="842">
        <f>WWWW[[#This Row],[% HRP1]]*WWWW[[#This Row],[Total PoP ]]</f>
        <v>13302</v>
      </c>
      <c r="BQ26" s="843">
        <f>WWWW[[#This Row],[HRP1]]/500</f>
        <v>26.603999999999999</v>
      </c>
      <c r="BR26" s="844">
        <f>1-WWWW[[#This Row],[% HRP1]]</f>
        <v>0</v>
      </c>
      <c r="BS26" s="843">
        <f>WWWW[[#This Row],[%equitable and continuous access to sufficient quantity of safe drinking and domestic water''s GAP]]*WWWW[[#This Row],[Total PoP ]]</f>
        <v>0</v>
      </c>
      <c r="BT26" s="454">
        <f>ROUND(IF(WWWW[[#This Row],[Total PoP ]]&lt;500,1,WWWW[[#This Row],[Total PoP ]]/500),0)</f>
        <v>27</v>
      </c>
      <c r="BU26" s="841">
        <f>IF(WWWW[[#This Row],[Total required water points]]-WWWW[[#This Row],['#Water points coverage]]&lt;0,0,WWWW[[#This Row],[Total required water points]]-WWWW[[#This Row],['#Water points coverage]])</f>
        <v>0.3960000000000008</v>
      </c>
      <c r="BV26" s="455">
        <f>WWWW[[#This Row],[HRP2]]/WWWW[[#This Row],[Total PoP ]]</f>
        <v>0.86002104946624569</v>
      </c>
      <c r="BW26"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11440</v>
      </c>
      <c r="BX26" s="458">
        <f>IF(WWWW[[#This Row],['#_Functional_adult_latrines]]="","",WWWW[[#This Row],[Total PoP ]]/WWWW[[#This Row],['#_Functional_adult_latrines]])</f>
        <v>24.362637362637361</v>
      </c>
      <c r="BY26" s="841">
        <f>WWWW[[#This Row],['#_of_latrines_in_TLS/CFS]]*50</f>
        <v>1700</v>
      </c>
      <c r="BZ26" s="454">
        <f>IF(WWWW[[#This Row],['#_of_latrines_in_THF]]="",0,WWWW[[#This Row],['#_of_latrines_in_THF]]*50)</f>
        <v>0</v>
      </c>
      <c r="CA26" s="841">
        <f>ROUND(IF(WWWW[[#This Row],[Location Type 1]]="camp",WWWW[[#This Row],[Total PoP ]]/20),0)</f>
        <v>665</v>
      </c>
      <c r="CB26" s="841">
        <f>IF(WWWW[[#This Row],[Total required Latrines]]-WWWW[[#This Row],['#_Existing_latrines]]&lt;0,0,WWWW[[#This Row],[Total required Latrines]]-WWWW[[#This Row],['#_Existing_latrines]])</f>
        <v>0</v>
      </c>
      <c r="CC26" s="844">
        <f>1-WWWW[[#This Row],[% HRP2]]</f>
        <v>0.13997895053375431</v>
      </c>
      <c r="CD26" s="840">
        <f>IF(WWWW[[#This Row],['#_Existing_latrines]]="","NA",(WWWW[[#This Row],['#_Existing_latrines]]-WWWW[[#This Row],['#_Functional_adult_latrines]])/WWWW[[#This Row],['#_Existing_latrines]])</f>
        <v>0.20754716981132076</v>
      </c>
      <c r="CE26"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6"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6" s="841">
        <f>IF(WWWW[[#This Row],['#_of_affected_women_and_girls_receiving_a_sufficient_quantity_of_sanitary_pads]]&gt;WWWW[[#This Row],[Total PoP ]],WWWW[[#This Row],[Total PoP ]],WWWW[[#This Row],['#_of_affected_women_and_girls_receiving_a_sufficient_quantity_of_sanitary_pads]])</f>
        <v>0</v>
      </c>
      <c r="CH26" s="841">
        <f>IF(WWWW[[#This Row],['# People with access to soap]]&gt;WWWW[[#This Row],['# People with access to Sanity Pads]],WWWW[[#This Row],['# People with access to soap]],WWWW[[#This Row],['# People with access to Sanity Pads]])</f>
        <v>0</v>
      </c>
      <c r="CI26"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6" s="844">
        <f>IF(WWWW[[#This Row],[HRP3]]/WWWW[[#This Row],[Total PoP ]]&gt;100%,100%,WWWW[[#This Row],[HRP3]]/WWWW[[#This Row],[Total PoP ]])</f>
        <v>0</v>
      </c>
      <c r="CK26" s="840">
        <f>1-WWWW[[#This Row],[Hygiene Coverage%]]</f>
        <v>1</v>
      </c>
      <c r="CL26" s="836">
        <f>WWWW[[#This Row],['# people reached by regular dedicated hygiene promotion_5]]/WWWW[[#This Row],[Total PoP ]]</f>
        <v>0</v>
      </c>
      <c r="CM26" s="840">
        <f>IF(WWWW[[#This Row],['#_of_affected_households_receiving_a_sufficient_quantity_of_soap]]/WWWW[[#This Row],[Total HH]]&gt;1,1,WWWW[[#This Row],['#_of_affected_households_receiving_a_sufficient_quantity_of_soap]]/WWWW[[#This Row],[Total HH]])</f>
        <v>0</v>
      </c>
      <c r="CN26" s="458" t="str">
        <f>IF(WWWW[[#This Row],['#_students at TLS_CFS]]="","No","Yes")</f>
        <v>No</v>
      </c>
      <c r="CO26" s="455">
        <f>WWWW[[#This Row],[%_of_affected_people_surveyed_who_report_feeling_informed_about_the_different_WASH_services_available_to_them]]</f>
        <v>0</v>
      </c>
      <c r="CP26"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6" s="503">
        <f>IF(WWWW[[#This Row],['#_PPL_accessed_water_in_TLS]]&gt;WWWW[[#This Row],['# students access to functioning school latrines_HRP5]],WWWW[[#This Row],['#_PPL_accessed_water_in_TLS]],WWWW[[#This Row],['# students access to functioning school latrines_HRP5]])</f>
        <v>1700</v>
      </c>
      <c r="CR26" s="503">
        <f>IF(WWWW[[#This Row],['#_PPL_accessed_water_in_THF]]&gt;WWWW[[#This Row],['# people access to functioning latrines in THF_HRP6]],WWWW[[#This Row],['#_PPL_accessed_water_in_THF]],WWWW[[#This Row],['# people access to functioning latrines in THF_HRP6]])</f>
        <v>0</v>
      </c>
      <c r="CS26" s="832" t="str">
        <f>VLOOKUP(WWWW[[#This Row],[Site Name]],SiteDB6[[Site Name]:[CCCM Management]],6,FALSE)</f>
        <v>Yes</v>
      </c>
      <c r="CT26" s="832">
        <f>VLOOKUP(WWWW[[#This Row],[Site Name]],SiteDB6[[Site Name]:[CCCM Focal Agency]],7,FALSE)</f>
        <v>0</v>
      </c>
      <c r="CU26" s="832" t="str">
        <f>VLOOKUP(WWWW[[#This Row],[Site Name]],SiteDB6[[Site Name]:[Location Type 1]],9,FALSE)</f>
        <v>Camp</v>
      </c>
      <c r="CV26" s="832" t="str">
        <f>VLOOKUP(WWWW[[#This Row],[Site Name]],SiteDB6[[Site Name]:[Type of Accommodation]],10,FALSE)</f>
        <v>Planned Camp</v>
      </c>
      <c r="CW26" s="832" t="str">
        <f>VLOOKUP(WWWW[[#This Row],[Site Name]],SiteDB6[[Site Name]:[Ethnic or GCA/NGCA]],11,FALSE)</f>
        <v>Muslim</v>
      </c>
      <c r="CX26" s="832">
        <f>VLOOKUP(WWWW[[#This Row],[Site Name]],SiteDB6[[Site Name]:[Lat]],12,FALSE)</f>
        <v>20.18994</v>
      </c>
      <c r="CY26" s="832">
        <f>VLOOKUP(WWWW[[#This Row],[Site Name]],SiteDB6[[Site Name]:[Long]],13,FALSE)</f>
        <v>92.798880999999994</v>
      </c>
      <c r="CZ26" s="832" t="str">
        <f>VLOOKUP(WWWW[[#This Row],[Site Name]],SiteDB6[[Site Name]:[Pcode]],3,FALSE)</f>
        <v>MMR012CMP115</v>
      </c>
      <c r="DA26" s="845" t="str">
        <f t="shared" si="0"/>
        <v>Covered</v>
      </c>
      <c r="DB26" s="480">
        <f>VLOOKUP(WWWW[[#This Row],[Site Name]],SiteDB6[[Site Name]:[PWD_Total]],22,FALSE)</f>
        <v>168</v>
      </c>
      <c r="DC26" s="480">
        <f>VLOOKUP(WWWW[[#This Row],[Site Name]],SiteDB6[[Site Name]:[PWD_Total]],23,FALSE)</f>
        <v>1744</v>
      </c>
      <c r="DD26" s="480">
        <f>WWWW[[#This Row],['# of Male_People with disabilities]]+WWWW[[#This Row],['# of Female_People with disabilities]]</f>
        <v>1912</v>
      </c>
      <c r="DE26" s="832"/>
      <c r="DF26" s="845"/>
      <c r="DG26" s="845"/>
      <c r="DH26" s="845"/>
      <c r="DI26" s="845">
        <f>VLOOKUP(WWWW[[#This Row],[Site Name]],SiteDB6[[Site Name]:[Pop
(CCCM as of Autust 2021)]],16,FALSE)</f>
        <v>2640</v>
      </c>
      <c r="DJ26" s="845">
        <f>VLOOKUP(WWWW[[#This Row],[Site Name]],SiteDB6[[Site Name]:[Pop
(CCCM as of Autust 2021)]],17,FALSE)</f>
        <v>15778</v>
      </c>
    </row>
    <row r="27" spans="1:114">
      <c r="A27" s="830" t="s">
        <v>3156</v>
      </c>
      <c r="B27" s="863" t="s">
        <v>2270</v>
      </c>
      <c r="C27" s="863" t="s">
        <v>2270</v>
      </c>
      <c r="D27" s="831" t="s">
        <v>40</v>
      </c>
      <c r="E27" s="863" t="s">
        <v>293</v>
      </c>
      <c r="F27" s="863" t="s">
        <v>294</v>
      </c>
      <c r="G27" s="810" t="s">
        <v>43</v>
      </c>
      <c r="H27" s="863" t="s">
        <v>421</v>
      </c>
      <c r="I27" s="833">
        <v>1139</v>
      </c>
      <c r="J27" s="833">
        <v>6016</v>
      </c>
      <c r="K27" s="687">
        <f>WWWW[[#This Row],[Total PoP ]]/WWWW[[#This Row],[Total HH]]</f>
        <v>5.2818261633011412</v>
      </c>
      <c r="L27" s="834">
        <v>44197</v>
      </c>
      <c r="M27" s="835">
        <v>44592</v>
      </c>
      <c r="N27" s="833"/>
      <c r="O27" s="503">
        <v>39</v>
      </c>
      <c r="P27" s="833">
        <v>42</v>
      </c>
      <c r="Q27" s="503"/>
      <c r="R27" s="503"/>
      <c r="S27" s="833"/>
      <c r="T27" s="833"/>
      <c r="U27" s="503"/>
      <c r="V27" s="453"/>
      <c r="W27" s="833"/>
      <c r="X27" s="836"/>
      <c r="Y27" s="833"/>
      <c r="Z27" s="503"/>
      <c r="AA27" s="503"/>
      <c r="AB27" s="837"/>
      <c r="AC27" s="833">
        <v>218</v>
      </c>
      <c r="AD27" s="833">
        <v>253</v>
      </c>
      <c r="AE27" s="833"/>
      <c r="AF27" s="833"/>
      <c r="AG27" s="836"/>
      <c r="AH27" s="836"/>
      <c r="AI27" s="836"/>
      <c r="AJ27" s="833"/>
      <c r="AK27" s="833">
        <v>26</v>
      </c>
      <c r="AL27" s="833">
        <v>2</v>
      </c>
      <c r="AM27" s="503"/>
      <c r="AN27" s="833" t="s">
        <v>41</v>
      </c>
      <c r="AO27" s="838"/>
      <c r="AP27" s="833"/>
      <c r="AQ27" s="833"/>
      <c r="AR27" s="833"/>
      <c r="AS27" s="833"/>
      <c r="AT27" s="833"/>
      <c r="AU27" s="833"/>
      <c r="AV27" s="453"/>
      <c r="AW27" s="836"/>
      <c r="AX27" s="454">
        <v>0</v>
      </c>
      <c r="AY27" s="846"/>
      <c r="AZ27" s="453"/>
      <c r="BA27" s="453"/>
      <c r="BB27" s="453"/>
      <c r="BC27" s="453"/>
      <c r="BD27" s="453"/>
      <c r="BE27" s="503"/>
      <c r="BF27" s="503"/>
      <c r="BG27" s="503"/>
      <c r="BH27" s="857"/>
      <c r="BI27" s="857"/>
      <c r="BJ27" s="854"/>
      <c r="BK27" s="503"/>
      <c r="BL27" s="840" t="str">
        <f>IF(WWWW[[#This Row],['#_Water samples_Tested_at_water_source]]="","no test","Tested")</f>
        <v>no test</v>
      </c>
      <c r="BM27" s="840" t="str">
        <f>IF(WWWW[[#This Row],['#_Water samples_Tested_at_HH]]="","no test","Tested")</f>
        <v>no test</v>
      </c>
      <c r="BN27" s="841" t="str">
        <f>IF(AND(WWWW[[#This Row],[Water_testing_at source]]="no test",WWWW[[#This Row],[Water_testing_at HH]]="no test"),"No Test","Tested")</f>
        <v>No Test</v>
      </c>
      <c r="BO27" s="840">
        <f>IF(WWWW[[#This Row],[Total PoP ]]="","",IF(((WWWW[[#This Row],['#_Functional_improved_water_source_Handpump]]*250)+(WWWW[[#This Row],['#_Functional_improved_water_source_tapstand_handdugwell]]*250)+(WWWW[[#This Row],['#_litres_of_water_supplied_by_existing_water_boating_trucking ]]/3/15)+WWWW[[#This Row],['#_PPL_received safe_drinking_water_HH_filters_centralized water system]])/WWWW[[#This Row],[Total PoP ]]&gt;1,1,((WWWW[[#This Row],['#_Functional_improved_water_source_Handpump]]*250)+(WWWW[[#This Row],['#_litres_of_water_supplied_by_existing_water_boating_trucking ]]/3/15)+WWWW[[#This Row],['#_PPL_received safe_drinking_water_HH_filters_centralized water system]])/WWWW[[#This Row],[Total PoP ]]))</f>
        <v>1</v>
      </c>
      <c r="BP27" s="842">
        <f>WWWW[[#This Row],[% HRP1]]*WWWW[[#This Row],[Total PoP ]]</f>
        <v>6016</v>
      </c>
      <c r="BQ27" s="843">
        <f>WWWW[[#This Row],[HRP1]]/500</f>
        <v>12.032</v>
      </c>
      <c r="BR27" s="844">
        <f>1-WWWW[[#This Row],[% HRP1]]</f>
        <v>0</v>
      </c>
      <c r="BS27" s="843">
        <f>WWWW[[#This Row],[%equitable and continuous access to sufficient quantity of safe drinking and domestic water''s GAP]]*WWWW[[#This Row],[Total PoP ]]</f>
        <v>0</v>
      </c>
      <c r="BT27" s="454">
        <f>ROUND(IF(WWWW[[#This Row],[Total PoP ]]&lt;500,1,WWWW[[#This Row],[Total PoP ]]/500),0)</f>
        <v>12</v>
      </c>
      <c r="BU27" s="841">
        <f>IF(WWWW[[#This Row],[Total required water points]]-WWWW[[#This Row],['#Water points coverage]]&lt;0,0,WWWW[[#This Row],[Total required water points]]-WWWW[[#This Row],['#Water points coverage]])</f>
        <v>0</v>
      </c>
      <c r="BV27" s="455">
        <f>WWWW[[#This Row],[HRP2]]/WWWW[[#This Row],[Total PoP ]]</f>
        <v>0.72905585106382975</v>
      </c>
      <c r="BW27" s="843">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4386</v>
      </c>
      <c r="BX27" s="458">
        <f>IF(WWWW[[#This Row],['#_Functional_adult_latrines]]="","",WWWW[[#This Row],[Total PoP ]]/WWWW[[#This Row],['#_Functional_adult_latrines]])</f>
        <v>27.596330275229359</v>
      </c>
      <c r="BY27" s="841">
        <f>WWWW[[#This Row],['#_of_latrines_in_TLS/CFS]]*50</f>
        <v>100</v>
      </c>
      <c r="BZ27" s="454">
        <f>IF(WWWW[[#This Row],['#_of_latrines_in_THF]]="",0,WWWW[[#This Row],['#_of_latrines_in_THF]]*50)</f>
        <v>0</v>
      </c>
      <c r="CA27" s="841">
        <f>ROUND(IF(WWWW[[#This Row],[Location Type 1]]="camp",WWWW[[#This Row],[Total PoP ]]/20),0)</f>
        <v>301</v>
      </c>
      <c r="CB27" s="841">
        <f>IF(WWWW[[#This Row],[Total required Latrines]]-WWWW[[#This Row],['#_Existing_latrines]]&lt;0,0,WWWW[[#This Row],[Total required Latrines]]-WWWW[[#This Row],['#_Existing_latrines]])</f>
        <v>48</v>
      </c>
      <c r="CC27" s="844">
        <f>1-WWWW[[#This Row],[% HRP2]]</f>
        <v>0.27094414893617025</v>
      </c>
      <c r="CD27" s="840">
        <f>IF(WWWW[[#This Row],['#_Existing_latrines]]="","NA",(WWWW[[#This Row],['#_Existing_latrines]]-WWWW[[#This Row],['#_Functional_adult_latrines]])/WWWW[[#This Row],['#_Existing_latrines]])</f>
        <v>0.13833992094861661</v>
      </c>
      <c r="CE27" s="843">
        <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7" s="84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7" s="841">
        <f>IF(WWWW[[#This Row],['#_of_affected_women_and_girls_receiving_a_sufficient_quantity_of_sanitary_pads]]&gt;WWWW[[#This Row],[Total PoP ]],WWWW[[#This Row],[Total PoP ]],WWWW[[#This Row],['#_of_affected_women_and_girls_receiving_a_sufficient_quantity_of_sanitary_pads]])</f>
        <v>0</v>
      </c>
      <c r="CH27" s="841">
        <f>IF(WWWW[[#This Row],['# People with access to soap]]&gt;WWWW[[#This Row],['# People with access to Sanity Pads]],WWWW[[#This Row],['# People with access to soap]],WWWW[[#This Row],['# People with access to Sanity Pads]])</f>
        <v>0</v>
      </c>
      <c r="CI27" s="841">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7" s="844">
        <f>IF(WWWW[[#This Row],[HRP3]]/WWWW[[#This Row],[Total PoP ]]&gt;100%,100%,WWWW[[#This Row],[HRP3]]/WWWW[[#This Row],[Total PoP ]])</f>
        <v>0</v>
      </c>
      <c r="CK27" s="840">
        <f>1-WWWW[[#This Row],[Hygiene Coverage%]]</f>
        <v>1</v>
      </c>
      <c r="CL27" s="836">
        <f>WWWW[[#This Row],['# people reached by regular dedicated hygiene promotion_5]]/WWWW[[#This Row],[Total PoP ]]</f>
        <v>0</v>
      </c>
      <c r="CM27" s="840">
        <f>IF(WWWW[[#This Row],['#_of_affected_households_receiving_a_sufficient_quantity_of_soap]]/WWWW[[#This Row],[Total HH]]&gt;1,1,WWWW[[#This Row],['#_of_affected_households_receiving_a_sufficient_quantity_of_soap]]/WWWW[[#This Row],[Total HH]])</f>
        <v>0</v>
      </c>
      <c r="CN27" s="458" t="str">
        <f>IF(WWWW[[#This Row],['#_students at TLS_CFS]]="","No","Yes")</f>
        <v>No</v>
      </c>
      <c r="CO27" s="455">
        <f>WWWW[[#This Row],[%_of_affected_people_surveyed_who_report_feeling_informed_about_the_different_WASH_services_available_to_them]]</f>
        <v>0</v>
      </c>
      <c r="CP27" s="541">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7" s="503">
        <f>IF(WWWW[[#This Row],['#_PPL_accessed_water_in_TLS]]&gt;WWWW[[#This Row],['# students access to functioning school latrines_HRP5]],WWWW[[#This Row],['#_PPL_accessed_water_in_TLS]],WWWW[[#This Row],['# students access to functioning school latrines_HRP5]])</f>
        <v>100</v>
      </c>
      <c r="CR27" s="503">
        <f>IF(WWWW[[#This Row],['#_PPL_accessed_water_in_THF]]&gt;WWWW[[#This Row],['# people access to functioning latrines in THF_HRP6]],WWWW[[#This Row],['#_PPL_accessed_water_in_THF]],WWWW[[#This Row],['# people access to functioning latrines in THF_HRP6]])</f>
        <v>0</v>
      </c>
      <c r="CS27" s="832" t="str">
        <f>VLOOKUP(WWWW[[#This Row],[Site Name]],SiteDB6[[Site Name]:[CCCM Management]],6,FALSE)</f>
        <v>Yes</v>
      </c>
      <c r="CT27" s="832">
        <f>VLOOKUP(WWWW[[#This Row],[Site Name]],SiteDB6[[Site Name]:[CCCM Focal Agency]],7,FALSE)</f>
        <v>0</v>
      </c>
      <c r="CU27" s="832" t="str">
        <f>VLOOKUP(WWWW[[#This Row],[Site Name]],SiteDB6[[Site Name]:[Location Type 1]],9,FALSE)</f>
        <v>Camp</v>
      </c>
      <c r="CV27" s="832" t="str">
        <f>VLOOKUP(WWWW[[#This Row],[Site Name]],SiteDB6[[Site Name]:[Type of Accommodation]],10,FALSE)</f>
        <v>Self Settled Camp</v>
      </c>
      <c r="CW27" s="832" t="str">
        <f>VLOOKUP(WWWW[[#This Row],[Site Name]],SiteDB6[[Site Name]:[Ethnic or GCA/NGCA]],11,FALSE)</f>
        <v>Muslim</v>
      </c>
      <c r="CX27" s="832">
        <f>VLOOKUP(WWWW[[#This Row],[Site Name]],SiteDB6[[Site Name]:[Lat]],12,FALSE)</f>
        <v>20.1585</v>
      </c>
      <c r="CY27" s="832">
        <f>VLOOKUP(WWWW[[#This Row],[Site Name]],SiteDB6[[Site Name]:[Long]],13,FALSE)</f>
        <v>92.839416999999997</v>
      </c>
      <c r="CZ27" s="832" t="str">
        <f>VLOOKUP(WWWW[[#This Row],[Site Name]],SiteDB6[[Site Name]:[Pcode]],3,FALSE)</f>
        <v>MMR012CMP046</v>
      </c>
      <c r="DA27" s="845" t="str">
        <f t="shared" si="0"/>
        <v>Covered</v>
      </c>
      <c r="DB27" s="480">
        <f>VLOOKUP(WWWW[[#This Row],[Site Name]],SiteDB6[[Site Name]:[PWD_Total]],22,FALSE)</f>
        <v>365</v>
      </c>
      <c r="DC27" s="480">
        <f>VLOOKUP(WWWW[[#This Row],[Site Name]],SiteDB6[[Site Name]:[PWD_Total]],23,FALSE)</f>
        <v>800</v>
      </c>
      <c r="DD27" s="480">
        <f>WWWW[[#This Row],['# of Male_People with disabilities]]+WWWW[[#This Row],['# of Female_People with disabilities]]</f>
        <v>1165</v>
      </c>
      <c r="DE27" s="832"/>
      <c r="DF27" s="845"/>
      <c r="DG27" s="845"/>
      <c r="DH27" s="845"/>
      <c r="DI27" s="845">
        <f>VLOOKUP(WWWW[[#This Row],[Site Name]],SiteDB6[[Site Name]:[Pop
(CCCM as of Autust 2021)]],16,FALSE)</f>
        <v>2062</v>
      </c>
      <c r="DJ27" s="845">
        <f>VLOOKUP(WWWW[[#This Row],[Site Name]],SiteDB6[[Site Name]:[Pop
(CCCM as of Autust 2021)]],17,FALSE)</f>
        <v>12522</v>
      </c>
    </row>
  </sheetData>
  <mergeCells count="18">
    <mergeCell ref="BL5:BN5"/>
    <mergeCell ref="BR5:BS5"/>
    <mergeCell ref="L1:M1"/>
    <mergeCell ref="BL2:BN3"/>
    <mergeCell ref="BO2:BO3"/>
    <mergeCell ref="BP2:BP3"/>
    <mergeCell ref="BE1:BG1"/>
    <mergeCell ref="AZ1:BC1"/>
    <mergeCell ref="BQ2:BQ3"/>
    <mergeCell ref="BY2:BY3"/>
    <mergeCell ref="BW2:BW3"/>
    <mergeCell ref="BR2:BS3"/>
    <mergeCell ref="BT2:BU2"/>
    <mergeCell ref="DI5:DJ5"/>
    <mergeCell ref="DF4:DH4"/>
    <mergeCell ref="CD2:CD3"/>
    <mergeCell ref="CA2:CA3"/>
    <mergeCell ref="CB2:CC3"/>
  </mergeCells>
  <phoneticPr fontId="147" type="noConversion"/>
  <conditionalFormatting sqref="CK2 CE2">
    <cfRule type="iconSet" priority="196">
      <iconSet reverse="1">
        <cfvo type="percent" val="0"/>
        <cfvo type="percent" val="0" gte="0"/>
        <cfvo type="percent" val="30"/>
      </iconSet>
    </cfRule>
  </conditionalFormatting>
  <conditionalFormatting sqref="CE5">
    <cfRule type="iconSet" priority="44">
      <iconSet reverse="1">
        <cfvo type="percent" val="0"/>
        <cfvo type="percent" val="0" gte="0"/>
        <cfvo type="percent" val="30"/>
      </iconSet>
    </cfRule>
  </conditionalFormatting>
  <conditionalFormatting sqref="CK4">
    <cfRule type="iconSet" priority="41">
      <iconSet reverse="1">
        <cfvo type="percent" val="0"/>
        <cfvo type="percent" val="0" gte="0"/>
        <cfvo type="percent" val="30"/>
      </iconSet>
    </cfRule>
  </conditionalFormatting>
  <conditionalFormatting sqref="BR4">
    <cfRule type="iconSet" priority="43">
      <iconSet reverse="1">
        <cfvo type="percent" val="0"/>
        <cfvo type="percent" val="0" gte="0"/>
        <cfvo type="percent" val="30"/>
      </iconSet>
    </cfRule>
  </conditionalFormatting>
  <conditionalFormatting sqref="CC4">
    <cfRule type="iconSet" priority="11732">
      <iconSet reverse="1">
        <cfvo type="percent" val="0"/>
        <cfvo type="percent" val="0" gte="0"/>
        <cfvo type="percent" val="30"/>
      </iconSet>
    </cfRule>
  </conditionalFormatting>
  <conditionalFormatting sqref="CD5 BY5:BZ5">
    <cfRule type="iconSet" priority="11752">
      <iconSet reverse="1">
        <cfvo type="percent" val="0"/>
        <cfvo type="percent" val="0" gte="0"/>
        <cfvo type="percent" val="10"/>
      </iconSet>
    </cfRule>
  </conditionalFormatting>
  <conditionalFormatting sqref="BS4">
    <cfRule type="iconSet" priority="34">
      <iconSet reverse="1">
        <cfvo type="percent" val="0"/>
        <cfvo type="percent" val="0" gte="0"/>
        <cfvo type="percent" val="30"/>
      </iconSet>
    </cfRule>
  </conditionalFormatting>
  <conditionalFormatting sqref="BT4">
    <cfRule type="iconSet" priority="30">
      <iconSet reverse="1">
        <cfvo type="percent" val="0"/>
        <cfvo type="percent" val="0" gte="0"/>
        <cfvo type="percent" val="30"/>
      </iconSet>
    </cfRule>
  </conditionalFormatting>
  <conditionalFormatting sqref="CK3">
    <cfRule type="iconSet" priority="12241">
      <iconSet reverse="1">
        <cfvo type="percent" val="0"/>
        <cfvo type="percent" val="0" gte="0"/>
        <cfvo type="percent" val="30"/>
      </iconSet>
    </cfRule>
  </conditionalFormatting>
  <conditionalFormatting sqref="DM7:DM1048576">
    <cfRule type="iconSet" priority="12285">
      <iconSet reverse="1">
        <cfvo type="percent" val="0"/>
        <cfvo type="percent" val="0" gte="0"/>
        <cfvo type="percent" val="30"/>
      </iconSet>
    </cfRule>
  </conditionalFormatting>
  <conditionalFormatting sqref="BR7:BR27">
    <cfRule type="iconSet" priority="12451">
      <iconSet reverse="1">
        <cfvo type="percent" val="0"/>
        <cfvo type="num" val="0" gte="0"/>
        <cfvo type="num" val="0.3"/>
      </iconSet>
    </cfRule>
  </conditionalFormatting>
  <conditionalFormatting sqref="CC7:CC27">
    <cfRule type="iconSet" priority="12452">
      <iconSet reverse="1">
        <cfvo type="percent" val="0"/>
        <cfvo type="num" val="0" gte="0"/>
        <cfvo type="num" val="0.3"/>
      </iconSet>
    </cfRule>
  </conditionalFormatting>
  <conditionalFormatting sqref="CK7:CK27">
    <cfRule type="iconSet" priority="12453">
      <iconSet reverse="1">
        <cfvo type="percent" val="0"/>
        <cfvo type="num" val="0" gte="0"/>
        <cfvo type="num" val="0.3"/>
      </iconSet>
    </cfRule>
  </conditionalFormatting>
  <conditionalFormatting sqref="BU4">
    <cfRule type="iconSet" priority="12460">
      <iconSet reverse="1">
        <cfvo type="percent" val="0"/>
        <cfvo type="percent" val="0" gte="0"/>
        <cfvo type="percent" val="30"/>
      </iconSet>
    </cfRule>
  </conditionalFormatting>
  <dataValidations count="7">
    <dataValidation type="list" allowBlank="1" showInputMessage="1" showErrorMessage="1" sqref="E28:F1048576 H28:H1048576 C28:C1048576" xr:uid="{00000000-0002-0000-0200-000000000000}">
      <formula1>#REF!</formula1>
    </dataValidation>
    <dataValidation type="list" allowBlank="1" showInputMessage="1" showErrorMessage="1" sqref="E7:E27" xr:uid="{C2D5BC16-667D-40AF-86C5-33FBB3A67832}">
      <formula1>"Kachin, Rakhine, Shan (North)"</formula1>
    </dataValidation>
    <dataValidation type="list" allowBlank="1" showInputMessage="1" showErrorMessage="1" sqref="AN7:AN27" xr:uid="{00000000-0002-0000-0200-000003000000}">
      <formula1>"Yes,No"</formula1>
    </dataValidation>
    <dataValidation type="whole" operator="lessThan" allowBlank="1" showInputMessage="1" showErrorMessage="1" sqref="N7:N27" xr:uid="{00000000-0002-0000-0200-000005000000}">
      <formula1>999999</formula1>
    </dataValidation>
    <dataValidation type="list" allowBlank="1" showInputMessage="1" showErrorMessage="1" sqref="DA7:DA27" xr:uid="{00000000-0002-0000-0200-000002000000}">
      <formula1>"Covered, Not_covered"</formula1>
    </dataValidation>
    <dataValidation type="list" allowBlank="1" showInputMessage="1" showErrorMessage="1" sqref="F7:F27" xr:uid="{00000000-0002-0000-0200-00000B000000}">
      <formula1>OFFSET(Statestart_1,MATCH(E7, State_list, 0), 1,COUNTIF(State_list,E7),1)</formula1>
    </dataValidation>
    <dataValidation type="list" allowBlank="1" showInputMessage="1" showErrorMessage="1" sqref="H7:H27" xr:uid="{0421B108-C2E1-4520-AC78-3A68D881D6E4}">
      <formula1>OFFSET(Township_start,MATCH(F7,Township_list, 0),1, COUNTIF(Township_list,F7),1)</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B7:C27</xm:sqref>
        </x14:dataValidation>
        <x14:dataValidation type="list" allowBlank="1" showInputMessage="1" showErrorMessage="1" xr:uid="{00000000-0002-0000-0200-00000E000000}">
          <x14:formula1>
            <xm:f>Lookup!$A$4:$A$15</xm:f>
          </x14:formula1>
          <xm:sqref>A7:A27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U1111" activePane="bottomRight" state="frozen"/>
      <selection pane="topRight" activeCell="D1" sqref="D1"/>
      <selection pane="bottomLeft" activeCell="A296" sqref="A296"/>
      <selection pane="bottomRight" activeCell="X3" sqref="X3:Y1111"/>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51"/>
      <c r="C1" s="468"/>
      <c r="V1" s="451"/>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3090</v>
      </c>
      <c r="S2" s="66" t="s">
        <v>3091</v>
      </c>
      <c r="T2" s="90" t="s">
        <v>752</v>
      </c>
      <c r="U2" s="44" t="s">
        <v>35</v>
      </c>
      <c r="V2" s="17" t="s">
        <v>753</v>
      </c>
      <c r="W2" s="17" t="s">
        <v>2196</v>
      </c>
      <c r="X2" s="17" t="s">
        <v>2906</v>
      </c>
      <c r="Y2" s="17" t="s">
        <v>2907</v>
      </c>
      <c r="Z2" s="17" t="s">
        <v>2908</v>
      </c>
    </row>
    <row r="3" spans="1:26" s="67" customFormat="1" ht="14.25" customHeight="1">
      <c r="A3" s="357" t="s">
        <v>2627</v>
      </c>
      <c r="B3" s="167" t="s">
        <v>356</v>
      </c>
      <c r="C3" s="168" t="s">
        <v>2682</v>
      </c>
      <c r="D3" s="355" t="s">
        <v>1635</v>
      </c>
      <c r="E3" s="384">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6"/>
      <c r="X3" s="457"/>
      <c r="Y3" s="457"/>
      <c r="Z3" s="457"/>
    </row>
    <row r="4" spans="1:26" s="67" customFormat="1" ht="14.25" customHeight="1">
      <c r="A4" s="357" t="s">
        <v>2627</v>
      </c>
      <c r="B4" s="175" t="s">
        <v>356</v>
      </c>
      <c r="C4" s="176" t="s">
        <v>361</v>
      </c>
      <c r="D4" s="355"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6"/>
      <c r="X4" s="457"/>
      <c r="Y4" s="457"/>
      <c r="Z4" s="457"/>
    </row>
    <row r="5" spans="1:26" s="67" customFormat="1" ht="14.25" customHeight="1">
      <c r="A5" s="357" t="s">
        <v>2627</v>
      </c>
      <c r="B5" s="167" t="s">
        <v>356</v>
      </c>
      <c r="C5" s="168" t="s">
        <v>2526</v>
      </c>
      <c r="D5" s="355"/>
      <c r="E5" s="163">
        <v>198667</v>
      </c>
      <c r="F5" s="163"/>
      <c r="G5" s="163"/>
      <c r="H5" s="163"/>
      <c r="I5" s="163"/>
      <c r="J5" s="163" t="s">
        <v>793</v>
      </c>
      <c r="K5" s="163" t="s">
        <v>793</v>
      </c>
      <c r="L5" s="163" t="s">
        <v>793</v>
      </c>
      <c r="M5" s="163" t="s">
        <v>293</v>
      </c>
      <c r="N5" s="163"/>
      <c r="O5" s="163"/>
      <c r="P5" s="163"/>
      <c r="Q5" s="163"/>
      <c r="R5" s="164"/>
      <c r="S5" s="162"/>
      <c r="T5" s="165"/>
      <c r="U5" s="166"/>
      <c r="V5" s="163"/>
      <c r="W5" s="356"/>
      <c r="X5" s="457"/>
      <c r="Y5" s="457"/>
      <c r="Z5" s="457"/>
    </row>
    <row r="6" spans="1:26" s="67" customFormat="1" ht="14.25" customHeight="1">
      <c r="A6" s="357" t="s">
        <v>2627</v>
      </c>
      <c r="B6" s="353" t="s">
        <v>356</v>
      </c>
      <c r="C6" s="67" t="s">
        <v>366</v>
      </c>
      <c r="D6" s="402"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3"/>
      <c r="X6" s="457"/>
      <c r="Y6" s="457"/>
      <c r="Z6" s="457"/>
    </row>
    <row r="7" spans="1:26" s="67" customFormat="1" ht="14.25" customHeight="1">
      <c r="A7" s="357" t="s">
        <v>2627</v>
      </c>
      <c r="B7" s="353" t="s">
        <v>356</v>
      </c>
      <c r="C7" s="67" t="s">
        <v>2523</v>
      </c>
      <c r="D7" s="402"/>
      <c r="E7" s="67">
        <v>198475</v>
      </c>
      <c r="J7" s="67" t="s">
        <v>793</v>
      </c>
      <c r="K7" s="67" t="s">
        <v>793</v>
      </c>
      <c r="L7" s="163" t="s">
        <v>793</v>
      </c>
      <c r="M7" s="67" t="s">
        <v>293</v>
      </c>
      <c r="R7" s="85"/>
      <c r="S7" s="357"/>
      <c r="T7" s="91"/>
      <c r="U7" s="87"/>
      <c r="X7" s="457"/>
      <c r="Y7" s="457"/>
      <c r="Z7" s="457"/>
    </row>
    <row r="8" spans="1:26" s="67" customFormat="1" ht="11" customHeight="1">
      <c r="A8" s="357" t="s">
        <v>2627</v>
      </c>
      <c r="B8" s="353" t="s">
        <v>356</v>
      </c>
      <c r="C8" s="67" t="s">
        <v>358</v>
      </c>
      <c r="D8" s="402"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7"/>
      <c r="Y8" s="457"/>
      <c r="Z8" s="457"/>
    </row>
    <row r="9" spans="1:26" s="67" customFormat="1" ht="14.25" customHeight="1">
      <c r="A9" s="357" t="s">
        <v>2627</v>
      </c>
      <c r="B9" s="353" t="s">
        <v>356</v>
      </c>
      <c r="C9" s="67" t="s">
        <v>367</v>
      </c>
      <c r="D9" s="402" t="s">
        <v>3088</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6">
        <v>334</v>
      </c>
      <c r="S9" s="461">
        <v>1001</v>
      </c>
      <c r="T9" s="91"/>
      <c r="U9" s="87"/>
      <c r="V9" s="67" t="s">
        <v>796</v>
      </c>
      <c r="X9" s="457"/>
      <c r="Y9" s="457"/>
      <c r="Z9" s="457"/>
    </row>
    <row r="10" spans="1:26" s="67" customFormat="1" ht="14.25" customHeight="1">
      <c r="A10" s="357" t="s">
        <v>2627</v>
      </c>
      <c r="B10" s="354" t="s">
        <v>356</v>
      </c>
      <c r="C10" s="354" t="s">
        <v>2525</v>
      </c>
      <c r="D10" s="402"/>
      <c r="E10" s="67">
        <v>198508</v>
      </c>
      <c r="J10" s="67" t="s">
        <v>793</v>
      </c>
      <c r="K10" s="67" t="s">
        <v>793</v>
      </c>
      <c r="L10" s="163" t="s">
        <v>793</v>
      </c>
      <c r="M10" s="67" t="s">
        <v>293</v>
      </c>
      <c r="R10" s="356"/>
      <c r="S10" s="86"/>
      <c r="T10" s="91"/>
      <c r="U10" s="87"/>
      <c r="X10" s="457"/>
      <c r="Y10" s="457"/>
      <c r="Z10" s="457"/>
    </row>
    <row r="11" spans="1:26" s="67" customFormat="1" ht="14.25" customHeight="1">
      <c r="A11" s="357" t="s">
        <v>2627</v>
      </c>
      <c r="B11" s="353" t="s">
        <v>356</v>
      </c>
      <c r="C11" s="67" t="s">
        <v>795</v>
      </c>
      <c r="D11" s="402" t="s">
        <v>1635</v>
      </c>
      <c r="E11" s="67">
        <v>198612</v>
      </c>
      <c r="J11" s="67" t="s">
        <v>793</v>
      </c>
      <c r="K11" s="67" t="s">
        <v>793</v>
      </c>
      <c r="L11" s="67" t="s">
        <v>793</v>
      </c>
      <c r="M11" s="67" t="s">
        <v>293</v>
      </c>
      <c r="N11" s="67">
        <v>19.195390700000001</v>
      </c>
      <c r="O11" s="67">
        <v>93.585678099999996</v>
      </c>
      <c r="P11" s="67" t="s">
        <v>794</v>
      </c>
      <c r="R11" s="85"/>
      <c r="S11" s="357"/>
      <c r="T11" s="91"/>
      <c r="U11" s="87"/>
      <c r="V11" s="67" t="s">
        <v>795</v>
      </c>
      <c r="W11" s="353"/>
      <c r="X11" s="457"/>
      <c r="Y11" s="457"/>
      <c r="Z11" s="457"/>
    </row>
    <row r="12" spans="1:26" s="67" customFormat="1" ht="14.25" customHeight="1">
      <c r="A12" s="357" t="s">
        <v>2627</v>
      </c>
      <c r="B12" s="353" t="s">
        <v>356</v>
      </c>
      <c r="C12" s="353" t="s">
        <v>2257</v>
      </c>
      <c r="D12" s="402"/>
      <c r="E12" s="67">
        <v>198464</v>
      </c>
      <c r="F12" s="67" t="s">
        <v>2257</v>
      </c>
      <c r="J12" s="67" t="s">
        <v>793</v>
      </c>
      <c r="K12" s="67" t="s">
        <v>793</v>
      </c>
      <c r="L12" s="67" t="s">
        <v>793</v>
      </c>
      <c r="M12" s="67" t="s">
        <v>293</v>
      </c>
      <c r="N12" s="67">
        <v>19.417640689999999</v>
      </c>
      <c r="O12" s="67">
        <v>93.565246579999993</v>
      </c>
      <c r="Q12" s="67" t="s">
        <v>2223</v>
      </c>
      <c r="R12" s="356"/>
      <c r="S12" s="86"/>
      <c r="T12" s="91">
        <v>43462</v>
      </c>
      <c r="U12" s="87"/>
      <c r="W12" s="67" t="s">
        <v>2258</v>
      </c>
      <c r="X12" s="457"/>
      <c r="Y12" s="457"/>
      <c r="Z12" s="457"/>
    </row>
    <row r="13" spans="1:26" s="67" customFormat="1" ht="14.25" customHeight="1">
      <c r="A13" s="357" t="s">
        <v>2627</v>
      </c>
      <c r="B13" s="353" t="s">
        <v>356</v>
      </c>
      <c r="C13" s="353" t="s">
        <v>363</v>
      </c>
      <c r="D13" s="402" t="s">
        <v>1635</v>
      </c>
      <c r="E13" s="67">
        <v>198516</v>
      </c>
      <c r="J13" s="67" t="s">
        <v>793</v>
      </c>
      <c r="K13" s="67" t="s">
        <v>793</v>
      </c>
      <c r="L13" s="67" t="s">
        <v>793</v>
      </c>
      <c r="M13" s="67" t="s">
        <v>293</v>
      </c>
      <c r="N13" s="67">
        <v>19.249820710000002</v>
      </c>
      <c r="O13" s="67">
        <v>93.551040650000004</v>
      </c>
      <c r="P13" s="67" t="s">
        <v>794</v>
      </c>
      <c r="Q13" s="67" t="s">
        <v>775</v>
      </c>
      <c r="R13" s="85"/>
      <c r="S13" s="357"/>
      <c r="T13" s="91"/>
      <c r="U13" s="87"/>
      <c r="V13" s="67" t="s">
        <v>363</v>
      </c>
      <c r="X13" s="457"/>
      <c r="Y13" s="457"/>
      <c r="Z13" s="457"/>
    </row>
    <row r="14" spans="1:26" s="67" customFormat="1" ht="14.25" customHeight="1">
      <c r="A14" s="357" t="s">
        <v>2627</v>
      </c>
      <c r="B14" s="353" t="s">
        <v>356</v>
      </c>
      <c r="C14" s="353" t="s">
        <v>360</v>
      </c>
      <c r="D14" s="402" t="s">
        <v>1635</v>
      </c>
      <c r="E14" s="67">
        <v>198643</v>
      </c>
      <c r="J14" s="67" t="s">
        <v>793</v>
      </c>
      <c r="K14" s="67" t="s">
        <v>793</v>
      </c>
      <c r="L14" s="67" t="s">
        <v>793</v>
      </c>
      <c r="M14" s="67" t="s">
        <v>293</v>
      </c>
      <c r="N14" s="67">
        <v>19.18865967</v>
      </c>
      <c r="O14" s="67">
        <v>93.720703130000004</v>
      </c>
      <c r="P14" s="67" t="s">
        <v>794</v>
      </c>
      <c r="Q14" s="67" t="s">
        <v>775</v>
      </c>
      <c r="R14" s="85"/>
      <c r="S14" s="357"/>
      <c r="T14" s="91"/>
      <c r="U14" s="87"/>
      <c r="V14" s="67" t="s">
        <v>360</v>
      </c>
      <c r="X14" s="457"/>
      <c r="Y14" s="457"/>
      <c r="Z14" s="457"/>
    </row>
    <row r="15" spans="1:26" s="67" customFormat="1" ht="14.25" customHeight="1">
      <c r="A15" s="357" t="s">
        <v>2627</v>
      </c>
      <c r="B15" s="354" t="s">
        <v>356</v>
      </c>
      <c r="C15" s="354" t="s">
        <v>2524</v>
      </c>
      <c r="D15" s="402"/>
      <c r="E15" s="67">
        <v>198476</v>
      </c>
      <c r="J15" s="67" t="s">
        <v>793</v>
      </c>
      <c r="K15" s="67" t="s">
        <v>793</v>
      </c>
      <c r="L15" s="163" t="s">
        <v>793</v>
      </c>
      <c r="M15" s="67" t="s">
        <v>293</v>
      </c>
      <c r="R15" s="85"/>
      <c r="S15" s="357"/>
      <c r="T15" s="91"/>
      <c r="U15" s="87"/>
      <c r="X15" s="457"/>
      <c r="Y15" s="457"/>
      <c r="Z15" s="457"/>
    </row>
    <row r="16" spans="1:26" s="67" customFormat="1" ht="14.25" customHeight="1">
      <c r="A16" s="357" t="s">
        <v>2627</v>
      </c>
      <c r="B16" s="354" t="s">
        <v>356</v>
      </c>
      <c r="C16" s="354" t="s">
        <v>362</v>
      </c>
      <c r="D16" s="402" t="s">
        <v>1635</v>
      </c>
      <c r="E16" s="67">
        <v>198514</v>
      </c>
      <c r="J16" s="67" t="s">
        <v>793</v>
      </c>
      <c r="K16" s="67" t="s">
        <v>793</v>
      </c>
      <c r="L16" s="67" t="s">
        <v>793</v>
      </c>
      <c r="M16" s="67" t="s">
        <v>293</v>
      </c>
      <c r="N16" s="67">
        <v>19.221920010000002</v>
      </c>
      <c r="O16" s="67">
        <v>93.571296689999997</v>
      </c>
      <c r="P16" s="67" t="s">
        <v>794</v>
      </c>
      <c r="Q16" s="67" t="s">
        <v>775</v>
      </c>
      <c r="R16" s="85"/>
      <c r="S16" s="357"/>
      <c r="T16" s="91"/>
      <c r="U16" s="87"/>
      <c r="V16" s="67" t="s">
        <v>362</v>
      </c>
      <c r="W16" s="353"/>
      <c r="X16" s="457"/>
      <c r="Y16" s="457"/>
      <c r="Z16" s="457"/>
    </row>
    <row r="17" spans="1:26" s="67" customFormat="1" ht="14.25" customHeight="1">
      <c r="A17" s="357" t="s">
        <v>2627</v>
      </c>
      <c r="B17" s="354" t="s">
        <v>356</v>
      </c>
      <c r="C17" s="354" t="s">
        <v>364</v>
      </c>
      <c r="D17" s="402" t="s">
        <v>1635</v>
      </c>
      <c r="E17" s="353">
        <v>198512</v>
      </c>
      <c r="F17" s="353"/>
      <c r="G17" s="353"/>
      <c r="H17" s="353"/>
      <c r="I17" s="353"/>
      <c r="J17" s="353" t="s">
        <v>793</v>
      </c>
      <c r="K17" s="67" t="s">
        <v>793</v>
      </c>
      <c r="L17" s="67" t="s">
        <v>793</v>
      </c>
      <c r="M17" s="67" t="s">
        <v>293</v>
      </c>
      <c r="N17" s="353">
        <v>19.254320140000001</v>
      </c>
      <c r="O17" s="353">
        <v>93.548591610000003</v>
      </c>
      <c r="P17" s="67" t="s">
        <v>794</v>
      </c>
      <c r="Q17" s="353" t="s">
        <v>775</v>
      </c>
      <c r="R17" s="356"/>
      <c r="S17" s="357"/>
      <c r="T17" s="376"/>
      <c r="U17" s="358"/>
      <c r="V17" s="353" t="s">
        <v>364</v>
      </c>
      <c r="X17" s="457"/>
      <c r="Y17" s="457"/>
      <c r="Z17" s="457"/>
    </row>
    <row r="18" spans="1:26" s="67" customFormat="1" ht="14.25" customHeight="1">
      <c r="A18" s="357" t="s">
        <v>2627</v>
      </c>
      <c r="B18" s="354" t="s">
        <v>356</v>
      </c>
      <c r="C18" s="354" t="s">
        <v>357</v>
      </c>
      <c r="D18" s="402" t="s">
        <v>1635</v>
      </c>
      <c r="E18" s="359">
        <v>198657</v>
      </c>
      <c r="J18" s="67" t="s">
        <v>793</v>
      </c>
      <c r="K18" s="67" t="s">
        <v>793</v>
      </c>
      <c r="L18" s="67" t="s">
        <v>793</v>
      </c>
      <c r="M18" s="67" t="s">
        <v>293</v>
      </c>
      <c r="N18" s="353">
        <v>19.170919420000001</v>
      </c>
      <c r="O18" s="353">
        <v>93.692680359999997</v>
      </c>
      <c r="P18" s="67" t="s">
        <v>794</v>
      </c>
      <c r="Q18" s="67" t="s">
        <v>775</v>
      </c>
      <c r="R18" s="85"/>
      <c r="S18" s="86"/>
      <c r="T18" s="91"/>
      <c r="U18" s="87"/>
      <c r="V18" s="67" t="s">
        <v>357</v>
      </c>
      <c r="W18" s="353"/>
      <c r="X18" s="457"/>
      <c r="Y18" s="457"/>
      <c r="Z18" s="457"/>
    </row>
    <row r="19" spans="1:26" s="67" customFormat="1" ht="14.25" customHeight="1">
      <c r="A19" s="360" t="s">
        <v>2627</v>
      </c>
      <c r="B19" s="360" t="s">
        <v>301</v>
      </c>
      <c r="C19" s="361" t="s">
        <v>635</v>
      </c>
      <c r="D19" s="355"/>
      <c r="E19" s="353">
        <v>196824</v>
      </c>
      <c r="J19" s="67" t="s">
        <v>793</v>
      </c>
      <c r="K19" s="67" t="s">
        <v>793</v>
      </c>
      <c r="L19" s="67" t="s">
        <v>793</v>
      </c>
      <c r="M19" s="67" t="s">
        <v>1979</v>
      </c>
      <c r="N19" s="353">
        <v>20.855012890000001</v>
      </c>
      <c r="O19" s="353">
        <v>92.91</v>
      </c>
      <c r="R19" s="364"/>
      <c r="S19" s="357"/>
      <c r="T19" s="91">
        <v>43591</v>
      </c>
      <c r="U19" s="364"/>
      <c r="W19" s="356"/>
      <c r="X19" s="457"/>
      <c r="Y19" s="457"/>
      <c r="Z19" s="457"/>
    </row>
    <row r="20" spans="1:26" s="67" customFormat="1" ht="14.25" customHeight="1">
      <c r="A20" s="357" t="s">
        <v>2627</v>
      </c>
      <c r="B20" s="353" t="s">
        <v>301</v>
      </c>
      <c r="C20" s="67" t="s">
        <v>944</v>
      </c>
      <c r="D20" s="402" t="s">
        <v>2689</v>
      </c>
      <c r="E20" s="353" t="s">
        <v>1396</v>
      </c>
      <c r="F20" s="67" t="s">
        <v>1840</v>
      </c>
      <c r="G20" s="67" t="s">
        <v>944</v>
      </c>
      <c r="J20" s="67" t="s">
        <v>793</v>
      </c>
      <c r="K20" s="67" t="s">
        <v>793</v>
      </c>
      <c r="L20" s="67" t="s">
        <v>878</v>
      </c>
      <c r="M20" s="67" t="s">
        <v>790</v>
      </c>
      <c r="N20" s="368">
        <v>20.921424999999999</v>
      </c>
      <c r="O20" s="368">
        <v>93.003204999999994</v>
      </c>
      <c r="P20" s="67" t="s">
        <v>794</v>
      </c>
      <c r="R20" s="356"/>
      <c r="S20" s="357"/>
      <c r="T20" s="91"/>
      <c r="U20" s="87" t="s">
        <v>855</v>
      </c>
      <c r="V20" s="67" t="s">
        <v>944</v>
      </c>
      <c r="X20" s="457"/>
      <c r="Y20" s="457"/>
      <c r="Z20" s="457"/>
    </row>
    <row r="21" spans="1:26" s="67" customFormat="1" ht="14.25" customHeight="1">
      <c r="A21" s="357" t="s">
        <v>2627</v>
      </c>
      <c r="B21" s="353" t="s">
        <v>301</v>
      </c>
      <c r="C21" s="353" t="s">
        <v>943</v>
      </c>
      <c r="D21" s="402" t="s">
        <v>2689</v>
      </c>
      <c r="E21" s="354" t="s">
        <v>1395</v>
      </c>
      <c r="F21" s="353" t="s">
        <v>943</v>
      </c>
      <c r="G21" s="67" t="s">
        <v>1839</v>
      </c>
      <c r="J21" s="67" t="s">
        <v>793</v>
      </c>
      <c r="K21" s="67" t="s">
        <v>793</v>
      </c>
      <c r="L21" s="67" t="s">
        <v>878</v>
      </c>
      <c r="M21" s="67" t="s">
        <v>790</v>
      </c>
      <c r="N21" s="368">
        <v>20.896740000000001</v>
      </c>
      <c r="O21" s="368">
        <v>93.014349999999993</v>
      </c>
      <c r="P21" s="67" t="s">
        <v>794</v>
      </c>
      <c r="R21" s="356"/>
      <c r="S21" s="357"/>
      <c r="T21" s="91"/>
      <c r="U21" s="87" t="s">
        <v>855</v>
      </c>
      <c r="V21" s="67" t="s">
        <v>943</v>
      </c>
      <c r="W21" s="353"/>
      <c r="X21" s="457"/>
      <c r="Y21" s="457"/>
      <c r="Z21" s="457"/>
    </row>
    <row r="22" spans="1:26" s="67" customFormat="1" ht="14.25" customHeight="1">
      <c r="A22" s="357" t="s">
        <v>2627</v>
      </c>
      <c r="B22" s="353" t="s">
        <v>301</v>
      </c>
      <c r="C22" s="353" t="s">
        <v>302</v>
      </c>
      <c r="D22" s="402" t="s">
        <v>1635</v>
      </c>
      <c r="E22" s="353"/>
      <c r="F22" s="353"/>
      <c r="G22" s="353"/>
      <c r="H22" s="353"/>
      <c r="I22" s="353"/>
      <c r="J22" s="353" t="s">
        <v>793</v>
      </c>
      <c r="K22" s="353" t="s">
        <v>793</v>
      </c>
      <c r="L22" s="353" t="s">
        <v>793</v>
      </c>
      <c r="M22" s="353" t="s">
        <v>293</v>
      </c>
      <c r="N22" s="353"/>
      <c r="O22" s="353"/>
      <c r="P22" s="353" t="s">
        <v>794</v>
      </c>
      <c r="Q22" s="353" t="s">
        <v>775</v>
      </c>
      <c r="R22" s="356"/>
      <c r="S22" s="357"/>
      <c r="T22" s="376"/>
      <c r="U22" s="358"/>
      <c r="V22" s="353" t="s">
        <v>302</v>
      </c>
      <c r="W22" s="353"/>
      <c r="X22" s="457"/>
      <c r="Y22" s="457"/>
      <c r="Z22" s="457"/>
    </row>
    <row r="23" spans="1:26" s="67" customFormat="1" ht="14.25" customHeight="1">
      <c r="A23" s="357" t="s">
        <v>2627</v>
      </c>
      <c r="B23" s="353" t="s">
        <v>301</v>
      </c>
      <c r="C23" s="353" t="s">
        <v>565</v>
      </c>
      <c r="D23" s="402" t="s">
        <v>2689</v>
      </c>
      <c r="E23" s="353" t="s">
        <v>1383</v>
      </c>
      <c r="F23" s="353"/>
      <c r="G23" s="353"/>
      <c r="H23" s="353"/>
      <c r="I23" s="353"/>
      <c r="J23" s="353" t="s">
        <v>793</v>
      </c>
      <c r="K23" s="353" t="s">
        <v>793</v>
      </c>
      <c r="L23" s="353" t="s">
        <v>878</v>
      </c>
      <c r="M23" s="353" t="s">
        <v>293</v>
      </c>
      <c r="N23" s="353">
        <v>20.720213000000001</v>
      </c>
      <c r="O23" s="353">
        <v>92.961841000000007</v>
      </c>
      <c r="P23" s="353" t="s">
        <v>794</v>
      </c>
      <c r="Q23" s="353" t="s">
        <v>775</v>
      </c>
      <c r="R23" s="356"/>
      <c r="S23" s="357"/>
      <c r="T23" s="376"/>
      <c r="U23" s="358"/>
      <c r="V23" s="353" t="s">
        <v>565</v>
      </c>
      <c r="W23" s="353"/>
      <c r="X23" s="457"/>
      <c r="Y23" s="457"/>
      <c r="Z23" s="457"/>
    </row>
    <row r="24" spans="1:26" s="67" customFormat="1" ht="14.25" customHeight="1">
      <c r="A24" s="357" t="s">
        <v>2627</v>
      </c>
      <c r="B24" s="353" t="s">
        <v>301</v>
      </c>
      <c r="C24" s="67" t="s">
        <v>926</v>
      </c>
      <c r="D24" s="402"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7"/>
      <c r="Y24" s="457"/>
      <c r="Z24" s="457"/>
    </row>
    <row r="25" spans="1:26" s="67" customFormat="1" ht="14.25" customHeight="1">
      <c r="A25" s="357" t="s">
        <v>2627</v>
      </c>
      <c r="B25" s="353" t="s">
        <v>301</v>
      </c>
      <c r="C25" s="353" t="s">
        <v>695</v>
      </c>
      <c r="D25" s="402" t="s">
        <v>1635</v>
      </c>
      <c r="E25" s="353">
        <v>196878</v>
      </c>
      <c r="F25" s="353"/>
      <c r="G25" s="353"/>
      <c r="H25" s="353"/>
      <c r="I25" s="353"/>
      <c r="J25" s="353" t="s">
        <v>793</v>
      </c>
      <c r="K25" s="353" t="s">
        <v>793</v>
      </c>
      <c r="L25" s="353" t="s">
        <v>793</v>
      </c>
      <c r="M25" s="353" t="s">
        <v>293</v>
      </c>
      <c r="N25" s="353">
        <v>20.627639769999998</v>
      </c>
      <c r="O25" s="353">
        <v>93.022773740000005</v>
      </c>
      <c r="P25" s="353" t="s">
        <v>794</v>
      </c>
      <c r="Q25" s="353" t="s">
        <v>775</v>
      </c>
      <c r="R25" s="356"/>
      <c r="S25" s="357"/>
      <c r="T25" s="376"/>
      <c r="U25" s="358"/>
      <c r="V25" s="353"/>
      <c r="W25" s="353"/>
      <c r="X25" s="457"/>
      <c r="Y25" s="457"/>
      <c r="Z25" s="457"/>
    </row>
    <row r="26" spans="1:26" s="67" customFormat="1" ht="14.25" customHeight="1">
      <c r="A26" s="360" t="s">
        <v>2627</v>
      </c>
      <c r="B26" s="360" t="s">
        <v>301</v>
      </c>
      <c r="C26" s="361" t="s">
        <v>2738</v>
      </c>
      <c r="D26" s="355"/>
      <c r="E26" s="163">
        <v>196937</v>
      </c>
      <c r="J26" s="67" t="s">
        <v>2632</v>
      </c>
      <c r="K26" s="67" t="s">
        <v>2600</v>
      </c>
      <c r="L26" s="67" t="s">
        <v>2600</v>
      </c>
      <c r="N26" s="163">
        <v>20.64656067</v>
      </c>
      <c r="O26" s="163">
        <v>92.976043700000005</v>
      </c>
      <c r="R26" s="364"/>
      <c r="S26" s="357"/>
      <c r="T26" s="91">
        <v>43591</v>
      </c>
      <c r="U26" s="364"/>
      <c r="W26" s="356"/>
      <c r="X26" s="457"/>
      <c r="Y26" s="457"/>
      <c r="Z26" s="457"/>
    </row>
    <row r="27" spans="1:26" s="67" customFormat="1" ht="14.25" customHeight="1">
      <c r="A27" s="357" t="s">
        <v>2627</v>
      </c>
      <c r="B27" s="175" t="s">
        <v>301</v>
      </c>
      <c r="C27" s="176" t="s">
        <v>2259</v>
      </c>
      <c r="D27" s="355"/>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6"/>
      <c r="X27" s="457"/>
      <c r="Y27" s="457"/>
      <c r="Z27" s="457"/>
    </row>
    <row r="28" spans="1:26" s="67" customFormat="1" ht="14.25" customHeight="1">
      <c r="A28" s="360" t="s">
        <v>2627</v>
      </c>
      <c r="B28" s="360" t="s">
        <v>301</v>
      </c>
      <c r="C28" s="361" t="s">
        <v>2739</v>
      </c>
      <c r="D28" s="355"/>
      <c r="E28" s="353">
        <v>196940</v>
      </c>
      <c r="F28" s="353"/>
      <c r="G28" s="353"/>
      <c r="H28" s="353"/>
      <c r="I28" s="353"/>
      <c r="J28" s="353" t="s">
        <v>2632</v>
      </c>
      <c r="K28" s="353" t="s">
        <v>2600</v>
      </c>
      <c r="L28" s="353" t="s">
        <v>2600</v>
      </c>
      <c r="M28" s="353"/>
      <c r="N28" s="353">
        <v>20.6563606262207</v>
      </c>
      <c r="O28" s="353">
        <v>92.998542785644503</v>
      </c>
      <c r="P28" s="353"/>
      <c r="Q28" s="353"/>
      <c r="R28" s="364"/>
      <c r="S28" s="357"/>
      <c r="T28" s="376">
        <v>43591</v>
      </c>
      <c r="U28" s="364"/>
      <c r="V28" s="353"/>
      <c r="W28" s="356"/>
      <c r="X28" s="457"/>
      <c r="Y28" s="457"/>
      <c r="Z28" s="457"/>
    </row>
    <row r="29" spans="1:26" s="67" customFormat="1" ht="14.25" customHeight="1">
      <c r="A29" s="360" t="s">
        <v>2627</v>
      </c>
      <c r="B29" s="360" t="s">
        <v>301</v>
      </c>
      <c r="C29" s="361" t="s">
        <v>2737</v>
      </c>
      <c r="D29" s="355"/>
      <c r="E29" s="353">
        <v>196942</v>
      </c>
      <c r="F29" s="353"/>
      <c r="G29" s="353"/>
      <c r="H29" s="353"/>
      <c r="I29" s="353"/>
      <c r="J29" s="67" t="s">
        <v>2632</v>
      </c>
      <c r="K29" s="67" t="s">
        <v>2600</v>
      </c>
      <c r="L29" s="67" t="s">
        <v>2600</v>
      </c>
      <c r="M29" s="353"/>
      <c r="N29" s="353">
        <v>20.6715202331543</v>
      </c>
      <c r="O29" s="353">
        <v>92.998092651367202</v>
      </c>
      <c r="Q29" s="353"/>
      <c r="R29" s="364"/>
      <c r="S29" s="357"/>
      <c r="T29" s="376">
        <v>43591</v>
      </c>
      <c r="U29" s="364"/>
      <c r="V29" s="353"/>
      <c r="W29" s="356"/>
      <c r="X29" s="457"/>
      <c r="Y29" s="457"/>
      <c r="Z29" s="457"/>
    </row>
    <row r="30" spans="1:26" s="67" customFormat="1" ht="14.25" customHeight="1">
      <c r="A30" s="357" t="s">
        <v>2627</v>
      </c>
      <c r="B30" s="353" t="s">
        <v>301</v>
      </c>
      <c r="C30" s="353" t="s">
        <v>551</v>
      </c>
      <c r="D30" s="402" t="s">
        <v>1635</v>
      </c>
      <c r="E30" s="353">
        <v>196943</v>
      </c>
      <c r="F30" s="353"/>
      <c r="G30" s="353"/>
      <c r="H30" s="353"/>
      <c r="I30" s="353"/>
      <c r="J30" s="353" t="s">
        <v>799</v>
      </c>
      <c r="K30" s="353" t="s">
        <v>793</v>
      </c>
      <c r="L30" s="353" t="s">
        <v>799</v>
      </c>
      <c r="M30" s="353" t="s">
        <v>293</v>
      </c>
      <c r="N30" s="353">
        <v>20.705930710000001</v>
      </c>
      <c r="O30" s="353">
        <v>93.001953130000004</v>
      </c>
      <c r="P30" s="353" t="s">
        <v>918</v>
      </c>
      <c r="Q30" s="353" t="s">
        <v>775</v>
      </c>
      <c r="R30" s="356"/>
      <c r="S30" s="357"/>
      <c r="T30" s="376"/>
      <c r="U30" s="358"/>
      <c r="V30" s="353" t="s">
        <v>551</v>
      </c>
      <c r="W30" s="353"/>
      <c r="X30" s="457"/>
      <c r="Y30" s="457"/>
      <c r="Z30" s="457"/>
    </row>
    <row r="31" spans="1:26" s="67" customFormat="1" ht="14.25" customHeight="1">
      <c r="A31" s="360" t="s">
        <v>2627</v>
      </c>
      <c r="B31" s="360" t="s">
        <v>301</v>
      </c>
      <c r="C31" s="361" t="s">
        <v>2734</v>
      </c>
      <c r="D31" s="355"/>
      <c r="E31" s="353">
        <v>196943</v>
      </c>
      <c r="F31" s="353"/>
      <c r="G31" s="353"/>
      <c r="H31" s="353"/>
      <c r="I31" s="353"/>
      <c r="J31" s="353" t="s">
        <v>2632</v>
      </c>
      <c r="K31" s="353" t="s">
        <v>2600</v>
      </c>
      <c r="L31" s="353" t="s">
        <v>2600</v>
      </c>
      <c r="M31" s="353"/>
      <c r="N31" s="353">
        <v>20.705930710000001</v>
      </c>
      <c r="O31" s="353">
        <v>93.001953130000004</v>
      </c>
      <c r="P31" s="353"/>
      <c r="Q31" s="353"/>
      <c r="R31" s="364"/>
      <c r="S31" s="357"/>
      <c r="T31" s="376">
        <v>43591</v>
      </c>
      <c r="U31" s="364"/>
      <c r="V31" s="353"/>
      <c r="W31" s="356"/>
      <c r="X31" s="457"/>
      <c r="Y31" s="457"/>
      <c r="Z31" s="457"/>
    </row>
    <row r="32" spans="1:26" s="67" customFormat="1" ht="14.25" customHeight="1">
      <c r="A32" s="357" t="s">
        <v>2627</v>
      </c>
      <c r="B32" s="167" t="s">
        <v>301</v>
      </c>
      <c r="C32" s="168" t="s">
        <v>634</v>
      </c>
      <c r="D32" s="355"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6"/>
      <c r="X32" s="457"/>
      <c r="Y32" s="457"/>
      <c r="Z32" s="457"/>
    </row>
    <row r="33" spans="1:26" s="67" customFormat="1" ht="14.25" customHeight="1">
      <c r="A33" s="357" t="s">
        <v>2627</v>
      </c>
      <c r="B33" s="353" t="s">
        <v>301</v>
      </c>
      <c r="C33" s="353" t="s">
        <v>513</v>
      </c>
      <c r="D33" s="402" t="s">
        <v>1635</v>
      </c>
      <c r="E33" s="353">
        <v>196983</v>
      </c>
      <c r="J33" s="67" t="s">
        <v>793</v>
      </c>
      <c r="K33" s="67" t="s">
        <v>793</v>
      </c>
      <c r="L33" s="67" t="s">
        <v>793</v>
      </c>
      <c r="M33" s="67" t="s">
        <v>293</v>
      </c>
      <c r="N33" s="67">
        <v>20.644098280000001</v>
      </c>
      <c r="O33" s="67">
        <v>93.036460880000007</v>
      </c>
      <c r="P33" s="67" t="s">
        <v>794</v>
      </c>
      <c r="Q33" s="67" t="s">
        <v>775</v>
      </c>
      <c r="R33" s="356"/>
      <c r="S33" s="357"/>
      <c r="T33" s="91"/>
      <c r="U33" s="87"/>
      <c r="W33" s="353"/>
      <c r="X33" s="457"/>
      <c r="Y33" s="457"/>
      <c r="Z33" s="457"/>
    </row>
    <row r="34" spans="1:26" s="67" customFormat="1" ht="14.25" customHeight="1">
      <c r="A34" s="357" t="s">
        <v>2627</v>
      </c>
      <c r="B34" s="353" t="s">
        <v>301</v>
      </c>
      <c r="C34" s="353" t="s">
        <v>555</v>
      </c>
      <c r="D34" s="402" t="s">
        <v>2689</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6"/>
      <c r="S34" s="357"/>
      <c r="T34" s="91"/>
      <c r="U34" s="87"/>
      <c r="V34" s="67" t="s">
        <v>555</v>
      </c>
      <c r="X34" s="457"/>
      <c r="Y34" s="457"/>
      <c r="Z34" s="457"/>
    </row>
    <row r="35" spans="1:26" s="67" customFormat="1" ht="14.25" customHeight="1">
      <c r="A35" s="357" t="s">
        <v>2627</v>
      </c>
      <c r="B35" s="175" t="s">
        <v>301</v>
      </c>
      <c r="C35" s="176" t="s">
        <v>553</v>
      </c>
      <c r="D35" s="355"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6"/>
      <c r="X35" s="457"/>
      <c r="Y35" s="457"/>
      <c r="Z35" s="457"/>
    </row>
    <row r="36" spans="1:26" s="67" customFormat="1" ht="14.25" customHeight="1">
      <c r="A36" s="357" t="s">
        <v>2627</v>
      </c>
      <c r="B36" s="167" t="s">
        <v>301</v>
      </c>
      <c r="C36" s="168" t="s">
        <v>606</v>
      </c>
      <c r="D36" s="355"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6"/>
      <c r="X36" s="457"/>
      <c r="Y36" s="457"/>
      <c r="Z36" s="457"/>
    </row>
    <row r="37" spans="1:26" s="67" customFormat="1" ht="14.25" customHeight="1">
      <c r="A37" s="360" t="s">
        <v>2627</v>
      </c>
      <c r="B37" s="360" t="s">
        <v>301</v>
      </c>
      <c r="C37" s="361" t="s">
        <v>2733</v>
      </c>
      <c r="D37" s="355"/>
      <c r="F37" s="353"/>
      <c r="J37" s="67" t="s">
        <v>2632</v>
      </c>
      <c r="K37" s="67" t="s">
        <v>2600</v>
      </c>
      <c r="L37" s="67" t="s">
        <v>2600</v>
      </c>
      <c r="R37" s="364"/>
      <c r="S37" s="357"/>
      <c r="T37" s="91">
        <v>43591</v>
      </c>
      <c r="U37" s="364"/>
      <c r="W37" s="356"/>
      <c r="X37" s="457"/>
      <c r="Y37" s="457"/>
      <c r="Z37" s="457"/>
    </row>
    <row r="38" spans="1:26" s="67" customFormat="1" ht="14.25" customHeight="1">
      <c r="A38" s="357" t="s">
        <v>2627</v>
      </c>
      <c r="B38" s="167" t="s">
        <v>301</v>
      </c>
      <c r="C38" s="168" t="s">
        <v>546</v>
      </c>
      <c r="D38" s="402" t="s">
        <v>2689</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7"/>
      <c r="T38" s="165"/>
      <c r="U38" s="166"/>
      <c r="V38" s="163" t="s">
        <v>923</v>
      </c>
      <c r="W38" s="356"/>
      <c r="X38" s="457"/>
      <c r="Y38" s="457"/>
      <c r="Z38" s="457"/>
    </row>
    <row r="39" spans="1:26" s="67" customFormat="1" ht="14.25" customHeight="1">
      <c r="A39" s="357" t="s">
        <v>2627</v>
      </c>
      <c r="B39" s="360" t="s">
        <v>301</v>
      </c>
      <c r="C39" s="361" t="s">
        <v>2696</v>
      </c>
      <c r="D39" s="355"/>
      <c r="E39" s="67">
        <v>196906</v>
      </c>
      <c r="J39" s="67" t="s">
        <v>2632</v>
      </c>
      <c r="K39" s="67" t="s">
        <v>2600</v>
      </c>
      <c r="L39" s="67" t="s">
        <v>2600</v>
      </c>
      <c r="N39" s="67">
        <v>20.680830001831101</v>
      </c>
      <c r="O39" s="67">
        <v>92.917633056640597</v>
      </c>
      <c r="R39" s="364"/>
      <c r="S39" s="357"/>
      <c r="T39" s="91">
        <v>43591</v>
      </c>
      <c r="U39" s="364"/>
      <c r="W39" s="356"/>
      <c r="X39" s="457"/>
      <c r="Y39" s="457"/>
      <c r="Z39" s="457"/>
    </row>
    <row r="40" spans="1:26" s="67" customFormat="1" ht="14.25" customHeight="1">
      <c r="A40" s="357" t="s">
        <v>2627</v>
      </c>
      <c r="B40" s="353" t="s">
        <v>301</v>
      </c>
      <c r="C40" s="353" t="s">
        <v>2208</v>
      </c>
      <c r="D40" s="402"/>
      <c r="E40" s="67">
        <v>196804</v>
      </c>
      <c r="J40" s="67" t="s">
        <v>793</v>
      </c>
      <c r="K40" s="67" t="s">
        <v>793</v>
      </c>
      <c r="L40" s="67" t="s">
        <v>793</v>
      </c>
      <c r="N40" s="67">
        <v>20.896429059999999</v>
      </c>
      <c r="O40" s="67">
        <v>92.940193179999994</v>
      </c>
      <c r="P40" s="67" t="s">
        <v>794</v>
      </c>
      <c r="R40" s="356"/>
      <c r="S40" s="86"/>
      <c r="T40" s="91"/>
      <c r="U40" s="87"/>
      <c r="V40" s="67" t="s">
        <v>2200</v>
      </c>
      <c r="X40" s="457"/>
      <c r="Y40" s="457"/>
      <c r="Z40" s="457"/>
    </row>
    <row r="41" spans="1:26" s="67" customFormat="1" ht="14.25" customHeight="1">
      <c r="A41" s="357" t="s">
        <v>2627</v>
      </c>
      <c r="B41" s="353" t="s">
        <v>301</v>
      </c>
      <c r="C41" s="353" t="s">
        <v>2209</v>
      </c>
      <c r="D41" s="402"/>
      <c r="E41" s="353">
        <v>196816</v>
      </c>
      <c r="F41" s="353"/>
      <c r="G41" s="353"/>
      <c r="H41" s="353"/>
      <c r="J41" s="67" t="s">
        <v>793</v>
      </c>
      <c r="K41" s="67" t="s">
        <v>793</v>
      </c>
      <c r="L41" s="353" t="s">
        <v>793</v>
      </c>
      <c r="N41" s="353">
        <v>20.727590559999999</v>
      </c>
      <c r="O41" s="353">
        <v>92.969352720000003</v>
      </c>
      <c r="P41" s="353" t="s">
        <v>794</v>
      </c>
      <c r="R41" s="356"/>
      <c r="S41" s="357"/>
      <c r="T41" s="91"/>
      <c r="U41" s="358"/>
      <c r="V41" s="353" t="s">
        <v>2202</v>
      </c>
      <c r="W41" s="353"/>
      <c r="X41" s="457"/>
      <c r="Y41" s="457"/>
      <c r="Z41" s="457"/>
    </row>
    <row r="42" spans="1:26" s="67" customFormat="1" ht="14.25" customHeight="1">
      <c r="A42" s="465" t="s">
        <v>2627</v>
      </c>
      <c r="B42" s="465" t="s">
        <v>301</v>
      </c>
      <c r="C42" s="466" t="s">
        <v>2784</v>
      </c>
      <c r="D42" s="460"/>
      <c r="E42" s="353"/>
      <c r="F42" s="353"/>
      <c r="G42" s="353"/>
      <c r="H42" s="353"/>
      <c r="I42" s="353"/>
      <c r="J42" s="353" t="s">
        <v>2632</v>
      </c>
      <c r="K42" s="353" t="s">
        <v>2600</v>
      </c>
      <c r="L42" s="353" t="s">
        <v>2600</v>
      </c>
      <c r="M42" s="353"/>
      <c r="N42" s="353"/>
      <c r="O42" s="353"/>
      <c r="P42" s="353"/>
      <c r="Q42" s="353"/>
      <c r="R42" s="469"/>
      <c r="S42" s="357"/>
      <c r="T42" s="376">
        <v>43591</v>
      </c>
      <c r="U42" s="469"/>
      <c r="V42" s="353"/>
      <c r="W42" s="461"/>
      <c r="X42" s="457"/>
      <c r="Y42" s="457"/>
      <c r="Z42" s="457"/>
    </row>
    <row r="43" spans="1:26" s="67" customFormat="1" ht="14.25" customHeight="1">
      <c r="A43" s="357" t="s">
        <v>2627</v>
      </c>
      <c r="B43" s="353" t="s">
        <v>301</v>
      </c>
      <c r="C43" s="353" t="s">
        <v>2267</v>
      </c>
      <c r="D43" s="402"/>
      <c r="E43" s="353">
        <v>196938</v>
      </c>
      <c r="F43" s="353" t="s">
        <v>2263</v>
      </c>
      <c r="G43" s="353"/>
      <c r="H43" s="353"/>
      <c r="I43" s="353"/>
      <c r="J43" s="353" t="s">
        <v>793</v>
      </c>
      <c r="K43" s="353" t="s">
        <v>793</v>
      </c>
      <c r="L43" s="353" t="s">
        <v>793</v>
      </c>
      <c r="M43" s="353"/>
      <c r="N43" s="353">
        <v>20.640909189999999</v>
      </c>
      <c r="O43" s="353">
        <v>92.979751590000006</v>
      </c>
      <c r="P43" s="353" t="s">
        <v>794</v>
      </c>
      <c r="Q43" s="353" t="s">
        <v>2223</v>
      </c>
      <c r="R43" s="356"/>
      <c r="S43" s="357"/>
      <c r="T43" s="376">
        <v>43465</v>
      </c>
      <c r="U43" s="358" t="s">
        <v>2265</v>
      </c>
      <c r="V43" s="353" t="s">
        <v>2261</v>
      </c>
      <c r="W43" s="353"/>
      <c r="X43" s="457"/>
      <c r="Y43" s="457"/>
      <c r="Z43" s="457"/>
    </row>
    <row r="44" spans="1:26" s="67" customFormat="1" ht="14.25" customHeight="1">
      <c r="A44" s="462" t="s">
        <v>2627</v>
      </c>
      <c r="B44" s="457" t="s">
        <v>301</v>
      </c>
      <c r="C44" s="457" t="s">
        <v>644</v>
      </c>
      <c r="D44" s="402" t="s">
        <v>2689</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61"/>
      <c r="S44" s="86"/>
      <c r="T44" s="91"/>
      <c r="U44" s="463"/>
      <c r="V44" s="67" t="s">
        <v>644</v>
      </c>
      <c r="W44" s="457"/>
      <c r="X44" s="457"/>
      <c r="Y44" s="457"/>
      <c r="Z44" s="457"/>
    </row>
    <row r="45" spans="1:26" s="67" customFormat="1" ht="14.25" customHeight="1">
      <c r="A45" s="465" t="s">
        <v>2627</v>
      </c>
      <c r="B45" s="465" t="s">
        <v>301</v>
      </c>
      <c r="C45" s="466" t="s">
        <v>2740</v>
      </c>
      <c r="D45" s="460"/>
      <c r="E45" s="353">
        <v>196865</v>
      </c>
      <c r="F45" s="353"/>
      <c r="G45" s="353"/>
      <c r="H45" s="353"/>
      <c r="I45" s="353"/>
      <c r="J45" s="353" t="s">
        <v>2632</v>
      </c>
      <c r="K45" s="353" t="s">
        <v>2600</v>
      </c>
      <c r="L45" s="353" t="s">
        <v>2600</v>
      </c>
      <c r="M45" s="353"/>
      <c r="N45" s="353">
        <v>20.8122158050537</v>
      </c>
      <c r="O45" s="353">
        <v>93.061012268066406</v>
      </c>
      <c r="P45" s="353"/>
      <c r="Q45" s="353"/>
      <c r="R45" s="469"/>
      <c r="S45" s="357"/>
      <c r="T45" s="376">
        <v>43591</v>
      </c>
      <c r="U45" s="469"/>
      <c r="V45" s="353"/>
      <c r="W45" s="461"/>
      <c r="X45" s="457"/>
      <c r="Y45" s="457"/>
      <c r="Z45" s="457"/>
    </row>
    <row r="46" spans="1:26" s="67" customFormat="1" ht="14.25" customHeight="1">
      <c r="A46" s="357" t="s">
        <v>2627</v>
      </c>
      <c r="B46" s="353" t="s">
        <v>301</v>
      </c>
      <c r="C46" s="353" t="s">
        <v>653</v>
      </c>
      <c r="D46" s="402" t="s">
        <v>1635</v>
      </c>
      <c r="E46" s="353">
        <v>196807</v>
      </c>
      <c r="F46" s="353"/>
      <c r="G46" s="353"/>
      <c r="H46" s="353"/>
      <c r="I46" s="353"/>
      <c r="J46" s="353" t="s">
        <v>799</v>
      </c>
      <c r="K46" s="353" t="s">
        <v>793</v>
      </c>
      <c r="L46" s="353" t="s">
        <v>799</v>
      </c>
      <c r="M46" s="353" t="s">
        <v>1979</v>
      </c>
      <c r="N46" s="353">
        <v>20.895059589999999</v>
      </c>
      <c r="O46" s="353">
        <v>92.90735626</v>
      </c>
      <c r="P46" s="353" t="s">
        <v>918</v>
      </c>
      <c r="Q46" s="353" t="s">
        <v>921</v>
      </c>
      <c r="R46" s="356"/>
      <c r="S46" s="357"/>
      <c r="T46" s="376">
        <v>43011</v>
      </c>
      <c r="U46" s="358" t="s">
        <v>922</v>
      </c>
      <c r="V46" s="353"/>
      <c r="W46" s="353"/>
      <c r="X46" s="457"/>
      <c r="Y46" s="457"/>
      <c r="Z46" s="457"/>
    </row>
    <row r="47" spans="1:26" s="67" customFormat="1" ht="14.25" customHeight="1">
      <c r="A47" s="357" t="s">
        <v>2627</v>
      </c>
      <c r="B47" s="353" t="s">
        <v>301</v>
      </c>
      <c r="C47" s="67" t="s">
        <v>614</v>
      </c>
      <c r="D47" s="402" t="s">
        <v>1635</v>
      </c>
      <c r="E47" s="67">
        <v>196882</v>
      </c>
      <c r="J47" s="67" t="s">
        <v>799</v>
      </c>
      <c r="K47" s="67" t="s">
        <v>793</v>
      </c>
      <c r="L47" s="67" t="s">
        <v>799</v>
      </c>
      <c r="M47" s="67" t="s">
        <v>1979</v>
      </c>
      <c r="N47" s="67">
        <v>20.807970050000002</v>
      </c>
      <c r="O47" s="67">
        <v>92.929046630000002</v>
      </c>
      <c r="P47" s="67" t="s">
        <v>918</v>
      </c>
      <c r="Q47" s="67" t="s">
        <v>921</v>
      </c>
      <c r="R47" s="85"/>
      <c r="S47" s="357"/>
      <c r="T47" s="91">
        <v>43011</v>
      </c>
      <c r="U47" s="87" t="s">
        <v>922</v>
      </c>
      <c r="X47" s="457"/>
      <c r="Y47" s="457"/>
      <c r="Z47" s="457"/>
    </row>
    <row r="48" spans="1:26" s="67" customFormat="1" ht="14.25" customHeight="1">
      <c r="A48" s="357" t="s">
        <v>2627</v>
      </c>
      <c r="B48" s="353" t="s">
        <v>301</v>
      </c>
      <c r="C48" s="353" t="s">
        <v>696</v>
      </c>
      <c r="D48" s="402" t="s">
        <v>1635</v>
      </c>
      <c r="E48" s="353">
        <v>196875</v>
      </c>
      <c r="F48" s="353"/>
      <c r="G48" s="353"/>
      <c r="H48" s="353"/>
      <c r="I48" s="353"/>
      <c r="J48" s="353" t="s">
        <v>793</v>
      </c>
      <c r="K48" s="353" t="s">
        <v>793</v>
      </c>
      <c r="L48" s="353" t="s">
        <v>793</v>
      </c>
      <c r="M48" s="353" t="s">
        <v>293</v>
      </c>
      <c r="N48" s="353">
        <v>20.60802078</v>
      </c>
      <c r="O48" s="353">
        <v>93.035400390000007</v>
      </c>
      <c r="P48" s="353" t="s">
        <v>794</v>
      </c>
      <c r="Q48" s="353" t="s">
        <v>775</v>
      </c>
      <c r="R48" s="356"/>
      <c r="S48" s="357"/>
      <c r="T48" s="376"/>
      <c r="U48" s="358"/>
      <c r="V48" s="353"/>
      <c r="W48" s="353"/>
      <c r="X48" s="457"/>
      <c r="Y48" s="457"/>
      <c r="Z48" s="457"/>
    </row>
    <row r="49" spans="1:26" s="67" customFormat="1" ht="14.25" customHeight="1">
      <c r="A49" s="357" t="s">
        <v>2627</v>
      </c>
      <c r="B49" s="353" t="s">
        <v>301</v>
      </c>
      <c r="C49" s="353" t="s">
        <v>694</v>
      </c>
      <c r="D49" s="402" t="s">
        <v>1635</v>
      </c>
      <c r="E49" s="353">
        <v>196971</v>
      </c>
      <c r="F49" s="353"/>
      <c r="G49" s="353"/>
      <c r="H49" s="353"/>
      <c r="I49" s="353"/>
      <c r="J49" s="67" t="s">
        <v>793</v>
      </c>
      <c r="K49" s="67" t="s">
        <v>793</v>
      </c>
      <c r="L49" s="67" t="s">
        <v>793</v>
      </c>
      <c r="M49" s="353" t="s">
        <v>293</v>
      </c>
      <c r="N49" s="353">
        <v>20.716699599999998</v>
      </c>
      <c r="O49" s="353">
        <v>92.997863769999995</v>
      </c>
      <c r="P49" s="67" t="s">
        <v>794</v>
      </c>
      <c r="Q49" s="353" t="s">
        <v>775</v>
      </c>
      <c r="R49" s="356"/>
      <c r="S49" s="357"/>
      <c r="T49" s="376"/>
      <c r="U49" s="358"/>
      <c r="V49" s="353"/>
      <c r="X49" s="457"/>
      <c r="Y49" s="457"/>
      <c r="Z49" s="457"/>
    </row>
    <row r="50" spans="1:26" s="67" customFormat="1" ht="14.25" customHeight="1">
      <c r="A50" s="357" t="s">
        <v>2627</v>
      </c>
      <c r="B50" s="353" t="s">
        <v>301</v>
      </c>
      <c r="C50" s="353" t="s">
        <v>915</v>
      </c>
      <c r="D50" s="402" t="s">
        <v>1635</v>
      </c>
      <c r="E50" s="67">
        <v>196926</v>
      </c>
      <c r="J50" s="67" t="s">
        <v>793</v>
      </c>
      <c r="K50" s="67" t="s">
        <v>793</v>
      </c>
      <c r="L50" s="67" t="s">
        <v>793</v>
      </c>
      <c r="M50" s="67" t="s">
        <v>293</v>
      </c>
      <c r="N50" s="67">
        <v>20.644800190000002</v>
      </c>
      <c r="O50" s="67">
        <v>92.945426940000004</v>
      </c>
      <c r="P50" s="67" t="s">
        <v>794</v>
      </c>
      <c r="R50" s="356"/>
      <c r="S50" s="86"/>
      <c r="T50" s="91"/>
      <c r="U50" s="87"/>
      <c r="V50" s="67" t="s">
        <v>915</v>
      </c>
      <c r="X50" s="457"/>
      <c r="Y50" s="457"/>
      <c r="Z50" s="457"/>
    </row>
    <row r="51" spans="1:26" s="67" customFormat="1" ht="14.25" customHeight="1">
      <c r="A51" s="357" t="s">
        <v>2627</v>
      </c>
      <c r="B51" s="353" t="s">
        <v>301</v>
      </c>
      <c r="C51" s="353" t="s">
        <v>609</v>
      </c>
      <c r="D51" s="402" t="s">
        <v>2689</v>
      </c>
      <c r="E51" s="353" t="s">
        <v>1386</v>
      </c>
      <c r="F51" s="353" t="s">
        <v>1731</v>
      </c>
      <c r="G51" s="353" t="s">
        <v>613</v>
      </c>
      <c r="H51" s="353"/>
      <c r="I51" s="353"/>
      <c r="J51" s="353" t="s">
        <v>793</v>
      </c>
      <c r="K51" s="353" t="s">
        <v>793</v>
      </c>
      <c r="L51" s="353" t="s">
        <v>878</v>
      </c>
      <c r="M51" s="353" t="s">
        <v>790</v>
      </c>
      <c r="N51" s="353">
        <v>20.805734000000001</v>
      </c>
      <c r="O51" s="353">
        <v>92.982675999999998</v>
      </c>
      <c r="P51" s="353" t="s">
        <v>794</v>
      </c>
      <c r="Q51" s="353" t="s">
        <v>775</v>
      </c>
      <c r="R51" s="356"/>
      <c r="S51" s="357"/>
      <c r="T51" s="376"/>
      <c r="U51" s="358"/>
      <c r="V51" s="353" t="s">
        <v>609</v>
      </c>
      <c r="W51" s="353"/>
      <c r="X51" s="457"/>
      <c r="Y51" s="457"/>
      <c r="Z51" s="457"/>
    </row>
    <row r="52" spans="1:26" s="67" customFormat="1" ht="14.25" customHeight="1">
      <c r="A52" s="462" t="s">
        <v>2627</v>
      </c>
      <c r="B52" s="457" t="s">
        <v>301</v>
      </c>
      <c r="C52" s="457" t="s">
        <v>595</v>
      </c>
      <c r="D52" s="402" t="s">
        <v>1635</v>
      </c>
      <c r="E52" s="353">
        <v>196887</v>
      </c>
      <c r="J52" s="67" t="s">
        <v>799</v>
      </c>
      <c r="K52" s="67" t="s">
        <v>793</v>
      </c>
      <c r="L52" s="67" t="s">
        <v>799</v>
      </c>
      <c r="M52" s="67" t="s">
        <v>1979</v>
      </c>
      <c r="N52" s="67">
        <v>20.785770419999999</v>
      </c>
      <c r="O52" s="67">
        <v>92.931426999999999</v>
      </c>
      <c r="P52" s="67" t="s">
        <v>918</v>
      </c>
      <c r="Q52" s="67" t="s">
        <v>921</v>
      </c>
      <c r="R52" s="461"/>
      <c r="S52" s="357"/>
      <c r="T52" s="91">
        <v>43011</v>
      </c>
      <c r="U52" s="463" t="s">
        <v>922</v>
      </c>
      <c r="W52" s="457"/>
      <c r="X52" s="457"/>
      <c r="Y52" s="457"/>
      <c r="Z52" s="457"/>
    </row>
    <row r="53" spans="1:26" s="67" customFormat="1" ht="14.25" customHeight="1">
      <c r="A53" s="465" t="s">
        <v>2627</v>
      </c>
      <c r="B53" s="465" t="s">
        <v>301</v>
      </c>
      <c r="C53" s="466" t="s">
        <v>2735</v>
      </c>
      <c r="D53" s="460"/>
      <c r="E53" s="67" t="s">
        <v>2764</v>
      </c>
      <c r="J53" s="67" t="s">
        <v>2632</v>
      </c>
      <c r="K53" s="67" t="s">
        <v>2600</v>
      </c>
      <c r="L53" s="67" t="s">
        <v>2600</v>
      </c>
      <c r="R53" s="469"/>
      <c r="S53" s="357"/>
      <c r="T53" s="91">
        <v>43591</v>
      </c>
      <c r="U53" s="469"/>
      <c r="W53" s="461"/>
      <c r="X53" s="457"/>
      <c r="Y53" s="457"/>
      <c r="Z53" s="457"/>
    </row>
    <row r="54" spans="1:26" s="67" customFormat="1" ht="14.25" customHeight="1">
      <c r="A54" s="462" t="s">
        <v>2627</v>
      </c>
      <c r="B54" s="457" t="s">
        <v>301</v>
      </c>
      <c r="C54" s="457" t="s">
        <v>554</v>
      </c>
      <c r="D54" s="402" t="s">
        <v>1635</v>
      </c>
      <c r="E54" s="67">
        <v>196944</v>
      </c>
      <c r="J54" s="67" t="s">
        <v>799</v>
      </c>
      <c r="K54" s="67" t="s">
        <v>793</v>
      </c>
      <c r="L54" s="67" t="s">
        <v>799</v>
      </c>
      <c r="M54" s="67" t="s">
        <v>293</v>
      </c>
      <c r="N54" s="67">
        <v>20.71134949</v>
      </c>
      <c r="O54" s="67">
        <v>92.980506899999995</v>
      </c>
      <c r="P54" s="67" t="s">
        <v>918</v>
      </c>
      <c r="Q54" s="67" t="s">
        <v>921</v>
      </c>
      <c r="R54" s="461"/>
      <c r="S54" s="357"/>
      <c r="T54" s="91">
        <v>43011</v>
      </c>
      <c r="U54" s="463" t="s">
        <v>922</v>
      </c>
      <c r="W54" s="457"/>
      <c r="X54" s="457"/>
      <c r="Y54" s="457"/>
      <c r="Z54" s="457"/>
    </row>
    <row r="55" spans="1:26" s="67" customFormat="1" ht="14.25" customHeight="1">
      <c r="A55" s="465" t="s">
        <v>2627</v>
      </c>
      <c r="B55" s="465" t="s">
        <v>301</v>
      </c>
      <c r="C55" s="466" t="s">
        <v>2732</v>
      </c>
      <c r="D55" s="355"/>
      <c r="E55" s="457">
        <v>220632</v>
      </c>
      <c r="F55" s="457"/>
      <c r="G55" s="457"/>
      <c r="H55" s="457"/>
      <c r="I55" s="457"/>
      <c r="J55" s="457" t="s">
        <v>2632</v>
      </c>
      <c r="K55" s="457" t="s">
        <v>2600</v>
      </c>
      <c r="L55" s="457" t="s">
        <v>2600</v>
      </c>
      <c r="M55" s="457"/>
      <c r="N55" s="457">
        <v>20.746028900146499</v>
      </c>
      <c r="O55" s="457">
        <v>92.839714050292997</v>
      </c>
      <c r="P55" s="457"/>
      <c r="Q55" s="457"/>
      <c r="R55" s="469"/>
      <c r="S55" s="462"/>
      <c r="T55" s="481">
        <v>43591</v>
      </c>
      <c r="U55" s="469"/>
      <c r="V55" s="457"/>
      <c r="W55" s="356"/>
      <c r="X55" s="457"/>
      <c r="Y55" s="457"/>
      <c r="Z55" s="457"/>
    </row>
    <row r="56" spans="1:26" s="67" customFormat="1" ht="14.25" customHeight="1">
      <c r="A56" s="357" t="s">
        <v>2627</v>
      </c>
      <c r="B56" s="175" t="s">
        <v>301</v>
      </c>
      <c r="C56" s="176" t="s">
        <v>690</v>
      </c>
      <c r="D56" s="355"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6"/>
      <c r="X56" s="457"/>
      <c r="Y56" s="457"/>
      <c r="Z56" s="457"/>
    </row>
    <row r="57" spans="1:26" s="67" customFormat="1" ht="14.25" customHeight="1">
      <c r="A57" s="357" t="s">
        <v>2627</v>
      </c>
      <c r="B57" s="167" t="s">
        <v>301</v>
      </c>
      <c r="C57" s="168" t="s">
        <v>2210</v>
      </c>
      <c r="D57" s="460"/>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61"/>
      <c r="X57" s="457"/>
      <c r="Y57" s="457"/>
      <c r="Z57" s="457"/>
    </row>
    <row r="58" spans="1:26" s="67" customFormat="1" ht="14.25" customHeight="1">
      <c r="A58" s="357" t="s">
        <v>2627</v>
      </c>
      <c r="B58" s="353" t="s">
        <v>301</v>
      </c>
      <c r="C58" s="353" t="s">
        <v>615</v>
      </c>
      <c r="D58" s="402" t="s">
        <v>1635</v>
      </c>
      <c r="E58" s="67">
        <v>196881</v>
      </c>
      <c r="J58" s="67" t="s">
        <v>799</v>
      </c>
      <c r="K58" s="67" t="s">
        <v>793</v>
      </c>
      <c r="L58" s="67" t="s">
        <v>799</v>
      </c>
      <c r="M58" s="67" t="s">
        <v>1979</v>
      </c>
      <c r="N58" s="67">
        <v>20.809240339999999</v>
      </c>
      <c r="O58" s="67">
        <v>92.923919679999997</v>
      </c>
      <c r="P58" s="67" t="s">
        <v>918</v>
      </c>
      <c r="Q58" s="67" t="s">
        <v>921</v>
      </c>
      <c r="R58" s="356"/>
      <c r="S58" s="86"/>
      <c r="T58" s="91">
        <v>43011</v>
      </c>
      <c r="U58" s="87" t="s">
        <v>922</v>
      </c>
      <c r="W58" s="353"/>
      <c r="X58" s="457"/>
      <c r="Y58" s="457"/>
      <c r="Z58" s="457"/>
    </row>
    <row r="59" spans="1:26" s="67" customFormat="1" ht="14.25" customHeight="1">
      <c r="A59" s="462" t="s">
        <v>2627</v>
      </c>
      <c r="B59" s="457" t="s">
        <v>301</v>
      </c>
      <c r="C59" s="457" t="s">
        <v>938</v>
      </c>
      <c r="D59" s="402" t="s">
        <v>3088</v>
      </c>
      <c r="E59" s="67" t="s">
        <v>1393</v>
      </c>
      <c r="F59" s="67" t="s">
        <v>1733</v>
      </c>
      <c r="G59" s="67" t="s">
        <v>939</v>
      </c>
      <c r="H59" s="67" t="s">
        <v>41</v>
      </c>
      <c r="J59" s="67" t="s">
        <v>43</v>
      </c>
      <c r="K59" s="67" t="s">
        <v>43</v>
      </c>
      <c r="L59" s="67" t="s">
        <v>792</v>
      </c>
      <c r="M59" s="67" t="s">
        <v>790</v>
      </c>
      <c r="N59" s="353">
        <v>20.865687000000001</v>
      </c>
      <c r="O59" s="353">
        <v>92.965980999999999</v>
      </c>
      <c r="P59" s="67" t="s">
        <v>756</v>
      </c>
      <c r="Q59" s="67" t="s">
        <v>775</v>
      </c>
      <c r="R59" s="461">
        <v>85</v>
      </c>
      <c r="S59" s="461">
        <v>546</v>
      </c>
      <c r="T59" s="91"/>
      <c r="U59" s="463"/>
      <c r="V59" s="67" t="s">
        <v>939</v>
      </c>
      <c r="W59" s="457"/>
      <c r="X59" s="457"/>
      <c r="Y59" s="457"/>
      <c r="Z59" s="457"/>
    </row>
    <row r="60" spans="1:26" s="67" customFormat="1" ht="14.25" customHeight="1">
      <c r="A60" s="357" t="s">
        <v>2627</v>
      </c>
      <c r="B60" s="157" t="s">
        <v>301</v>
      </c>
      <c r="C60" s="157" t="s">
        <v>535</v>
      </c>
      <c r="D60" s="355" t="s">
        <v>1635</v>
      </c>
      <c r="E60" s="153">
        <v>196930</v>
      </c>
      <c r="F60" s="153"/>
      <c r="G60" s="153"/>
      <c r="H60" s="153"/>
      <c r="I60" s="153"/>
      <c r="J60" s="67" t="s">
        <v>799</v>
      </c>
      <c r="K60" s="353" t="s">
        <v>793</v>
      </c>
      <c r="L60" s="353" t="s">
        <v>799</v>
      </c>
      <c r="M60" s="153" t="s">
        <v>1978</v>
      </c>
      <c r="N60" s="153">
        <v>20.681715010000001</v>
      </c>
      <c r="O60" s="153">
        <v>92.94140625</v>
      </c>
      <c r="P60" s="67" t="s">
        <v>918</v>
      </c>
      <c r="Q60" s="153" t="s">
        <v>921</v>
      </c>
      <c r="R60" s="154"/>
      <c r="S60" s="152"/>
      <c r="T60" s="155">
        <v>43011</v>
      </c>
      <c r="U60" s="156" t="s">
        <v>922</v>
      </c>
      <c r="V60" s="153"/>
      <c r="W60" s="353"/>
      <c r="X60" s="457"/>
      <c r="Y60" s="457"/>
      <c r="Z60" s="457"/>
    </row>
    <row r="61" spans="1:26" s="67" customFormat="1" ht="14.25" customHeight="1">
      <c r="A61" s="357" t="s">
        <v>2627</v>
      </c>
      <c r="B61" s="353" t="s">
        <v>301</v>
      </c>
      <c r="C61" s="353" t="s">
        <v>655</v>
      </c>
      <c r="D61" s="402" t="s">
        <v>1635</v>
      </c>
      <c r="E61" s="67">
        <v>196787</v>
      </c>
      <c r="J61" s="67" t="s">
        <v>793</v>
      </c>
      <c r="K61" s="67" t="s">
        <v>793</v>
      </c>
      <c r="L61" s="67" t="s">
        <v>793</v>
      </c>
      <c r="M61" s="67" t="s">
        <v>790</v>
      </c>
      <c r="N61" s="67">
        <v>20.90377045</v>
      </c>
      <c r="O61" s="353">
        <v>93.004432679999994</v>
      </c>
      <c r="P61" s="67" t="s">
        <v>794</v>
      </c>
      <c r="Q61" s="67" t="s">
        <v>775</v>
      </c>
      <c r="R61" s="356"/>
      <c r="S61" s="357"/>
      <c r="T61" s="91"/>
      <c r="U61" s="87"/>
      <c r="V61" s="67" t="s">
        <v>655</v>
      </c>
      <c r="X61" s="457"/>
      <c r="Y61" s="457"/>
      <c r="Z61" s="457"/>
    </row>
    <row r="62" spans="1:26" s="67" customFormat="1" ht="14.25" customHeight="1">
      <c r="A62" s="360" t="s">
        <v>2627</v>
      </c>
      <c r="B62" s="360" t="s">
        <v>301</v>
      </c>
      <c r="C62" s="361" t="s">
        <v>2736</v>
      </c>
      <c r="D62" s="355"/>
      <c r="E62" s="67" t="s">
        <v>2765</v>
      </c>
      <c r="J62" s="67" t="s">
        <v>2632</v>
      </c>
      <c r="K62" s="67" t="s">
        <v>2600</v>
      </c>
      <c r="L62" s="67" t="s">
        <v>2600</v>
      </c>
      <c r="R62" s="364"/>
      <c r="S62" s="357"/>
      <c r="T62" s="91">
        <v>43591</v>
      </c>
      <c r="U62" s="364"/>
      <c r="W62" s="356"/>
      <c r="X62" s="457"/>
      <c r="Y62" s="457"/>
      <c r="Z62" s="457"/>
    </row>
    <row r="63" spans="1:26" s="67" customFormat="1" ht="14.25" customHeight="1">
      <c r="A63" s="357" t="s">
        <v>2627</v>
      </c>
      <c r="B63" s="167" t="s">
        <v>301</v>
      </c>
      <c r="C63" s="168" t="s">
        <v>332</v>
      </c>
      <c r="D63" s="355"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6"/>
      <c r="X63" s="457"/>
      <c r="Y63" s="457"/>
      <c r="Z63" s="457"/>
    </row>
    <row r="64" spans="1:26" s="67" customFormat="1" ht="14.25" customHeight="1">
      <c r="A64" s="357" t="s">
        <v>2627</v>
      </c>
      <c r="B64" s="353" t="s">
        <v>301</v>
      </c>
      <c r="C64" s="353" t="s">
        <v>1129</v>
      </c>
      <c r="D64" s="402" t="s">
        <v>1635</v>
      </c>
      <c r="E64" s="353">
        <v>196759</v>
      </c>
      <c r="J64" s="67" t="s">
        <v>793</v>
      </c>
      <c r="K64" s="67" t="s">
        <v>793</v>
      </c>
      <c r="L64" s="67" t="s">
        <v>793</v>
      </c>
      <c r="M64" s="67" t="s">
        <v>1979</v>
      </c>
      <c r="O64" s="353"/>
      <c r="P64" s="67" t="s">
        <v>794</v>
      </c>
      <c r="R64" s="356"/>
      <c r="S64" s="86"/>
      <c r="T64" s="91"/>
      <c r="U64" s="87"/>
      <c r="V64" s="67" t="s">
        <v>1129</v>
      </c>
      <c r="W64" s="353"/>
      <c r="X64" s="457"/>
      <c r="Y64" s="457"/>
      <c r="Z64" s="457"/>
    </row>
    <row r="65" spans="1:26" s="67" customFormat="1" ht="14.25" customHeight="1">
      <c r="A65" s="357" t="s">
        <v>2627</v>
      </c>
      <c r="B65" s="360" t="s">
        <v>301</v>
      </c>
      <c r="C65" s="361" t="s">
        <v>1977</v>
      </c>
      <c r="D65" s="355" t="s">
        <v>1635</v>
      </c>
      <c r="J65" s="67" t="s">
        <v>799</v>
      </c>
      <c r="K65" s="67" t="s">
        <v>793</v>
      </c>
      <c r="L65" s="67" t="s">
        <v>799</v>
      </c>
      <c r="M65" s="67" t="s">
        <v>293</v>
      </c>
      <c r="P65" s="67" t="s">
        <v>918</v>
      </c>
      <c r="Q65" s="67" t="s">
        <v>921</v>
      </c>
      <c r="R65" s="364"/>
      <c r="S65" s="357"/>
      <c r="T65" s="91">
        <v>43011</v>
      </c>
      <c r="U65" s="87" t="s">
        <v>922</v>
      </c>
      <c r="W65" s="353"/>
      <c r="X65" s="457"/>
      <c r="Y65" s="457"/>
      <c r="Z65" s="457"/>
    </row>
    <row r="66" spans="1:26" s="67" customFormat="1" ht="14.25" customHeight="1">
      <c r="A66" s="357" t="s">
        <v>2627</v>
      </c>
      <c r="B66" s="360" t="s">
        <v>301</v>
      </c>
      <c r="C66" s="361" t="s">
        <v>335</v>
      </c>
      <c r="D66" s="355" t="s">
        <v>1635</v>
      </c>
      <c r="E66" s="353">
        <v>196815</v>
      </c>
      <c r="F66" s="353"/>
      <c r="G66" s="353"/>
      <c r="H66" s="353"/>
      <c r="I66" s="353"/>
      <c r="J66" s="67" t="s">
        <v>799</v>
      </c>
      <c r="K66" s="353" t="s">
        <v>793</v>
      </c>
      <c r="L66" s="353" t="s">
        <v>799</v>
      </c>
      <c r="M66" s="67" t="s">
        <v>1976</v>
      </c>
      <c r="N66" s="353"/>
      <c r="O66" s="353"/>
      <c r="P66" s="67" t="s">
        <v>918</v>
      </c>
      <c r="Q66" s="67" t="s">
        <v>921</v>
      </c>
      <c r="R66" s="364"/>
      <c r="S66" s="86"/>
      <c r="T66" s="91">
        <v>43011</v>
      </c>
      <c r="U66" s="87" t="s">
        <v>922</v>
      </c>
      <c r="X66" s="457"/>
      <c r="Y66" s="457"/>
      <c r="Z66" s="457"/>
    </row>
    <row r="67" spans="1:26" s="67" customFormat="1" ht="14.25" customHeight="1">
      <c r="A67" s="357" t="s">
        <v>2627</v>
      </c>
      <c r="B67" s="360" t="s">
        <v>301</v>
      </c>
      <c r="C67" s="361" t="s">
        <v>2214</v>
      </c>
      <c r="D67" s="355"/>
      <c r="E67" s="353">
        <v>196889</v>
      </c>
      <c r="F67" s="353"/>
      <c r="G67" s="353"/>
      <c r="H67" s="353"/>
      <c r="I67" s="353"/>
      <c r="J67" s="67" t="s">
        <v>793</v>
      </c>
      <c r="K67" s="353" t="s">
        <v>793</v>
      </c>
      <c r="L67" s="353" t="s">
        <v>793</v>
      </c>
      <c r="M67" s="353"/>
      <c r="N67" s="353">
        <v>20.785549159999999</v>
      </c>
      <c r="O67" s="353">
        <v>92.971076969999999</v>
      </c>
      <c r="P67" s="67" t="s">
        <v>794</v>
      </c>
      <c r="Q67" s="353"/>
      <c r="R67" s="364"/>
      <c r="S67" s="357"/>
      <c r="T67" s="376"/>
      <c r="U67" s="358"/>
      <c r="V67" s="353" t="s">
        <v>2207</v>
      </c>
      <c r="X67" s="457"/>
      <c r="Y67" s="457"/>
      <c r="Z67" s="457"/>
    </row>
    <row r="68" spans="1:26" s="67" customFormat="1" ht="14.25" customHeight="1">
      <c r="A68" s="357" t="s">
        <v>2627</v>
      </c>
      <c r="B68" s="360" t="s">
        <v>301</v>
      </c>
      <c r="C68" s="361" t="s">
        <v>2268</v>
      </c>
      <c r="D68" s="355"/>
      <c r="E68" s="67">
        <v>196939</v>
      </c>
      <c r="F68" s="67" t="s">
        <v>2263</v>
      </c>
      <c r="J68" s="67" t="s">
        <v>793</v>
      </c>
      <c r="K68" s="67" t="s">
        <v>793</v>
      </c>
      <c r="L68" s="67" t="s">
        <v>793</v>
      </c>
      <c r="N68" s="67">
        <v>20.648920059999998</v>
      </c>
      <c r="O68" s="67">
        <v>92.967460630000005</v>
      </c>
      <c r="P68" s="67" t="s">
        <v>794</v>
      </c>
      <c r="Q68" s="67" t="s">
        <v>2223</v>
      </c>
      <c r="R68" s="364"/>
      <c r="S68" s="86"/>
      <c r="T68" s="91">
        <v>43465</v>
      </c>
      <c r="U68" s="87" t="s">
        <v>2265</v>
      </c>
      <c r="V68" s="67" t="s">
        <v>2262</v>
      </c>
      <c r="X68" s="457"/>
      <c r="Y68" s="457"/>
      <c r="Z68" s="457"/>
    </row>
    <row r="69" spans="1:26" s="67" customFormat="1" ht="14.25" customHeight="1">
      <c r="A69" s="357" t="s">
        <v>2627</v>
      </c>
      <c r="B69" s="360" t="s">
        <v>301</v>
      </c>
      <c r="C69" s="361" t="s">
        <v>652</v>
      </c>
      <c r="D69" s="355" t="s">
        <v>1635</v>
      </c>
      <c r="E69" s="353">
        <v>196814</v>
      </c>
      <c r="F69" s="353"/>
      <c r="G69" s="353"/>
      <c r="H69" s="353"/>
      <c r="I69" s="353"/>
      <c r="J69" s="67" t="s">
        <v>799</v>
      </c>
      <c r="K69" s="67" t="s">
        <v>793</v>
      </c>
      <c r="L69" s="353" t="s">
        <v>799</v>
      </c>
      <c r="M69" s="353" t="s">
        <v>293</v>
      </c>
      <c r="N69" s="353">
        <v>20.894269940000001</v>
      </c>
      <c r="O69" s="353">
        <v>92.920730590000005</v>
      </c>
      <c r="P69" s="353" t="s">
        <v>918</v>
      </c>
      <c r="Q69" s="353" t="s">
        <v>921</v>
      </c>
      <c r="R69" s="364"/>
      <c r="S69" s="357"/>
      <c r="T69" s="376">
        <v>43011</v>
      </c>
      <c r="U69" s="358" t="s">
        <v>922</v>
      </c>
      <c r="V69" s="353"/>
      <c r="W69" s="353"/>
      <c r="X69" s="457"/>
      <c r="Y69" s="457"/>
      <c r="Z69" s="457"/>
    </row>
    <row r="70" spans="1:26" s="67" customFormat="1" ht="14.25" customHeight="1">
      <c r="A70" s="357" t="s">
        <v>2627</v>
      </c>
      <c r="B70" s="353" t="s">
        <v>301</v>
      </c>
      <c r="C70" s="353" t="s">
        <v>2201</v>
      </c>
      <c r="D70" s="402"/>
      <c r="E70" s="353"/>
      <c r="F70" s="353"/>
      <c r="G70" s="353"/>
      <c r="H70" s="353"/>
      <c r="I70" s="353"/>
      <c r="J70" s="353" t="s">
        <v>793</v>
      </c>
      <c r="K70" s="353" t="s">
        <v>793</v>
      </c>
      <c r="L70" s="353" t="s">
        <v>793</v>
      </c>
      <c r="M70" s="353"/>
      <c r="N70" s="353">
        <v>20.889249800000002</v>
      </c>
      <c r="O70" s="353">
        <v>92.939201350000005</v>
      </c>
      <c r="P70" s="353" t="s">
        <v>794</v>
      </c>
      <c r="Q70" s="353"/>
      <c r="R70" s="356"/>
      <c r="S70" s="357"/>
      <c r="T70" s="376"/>
      <c r="U70" s="358"/>
      <c r="V70" s="353" t="s">
        <v>2201</v>
      </c>
      <c r="W70" s="353"/>
      <c r="X70" s="457"/>
      <c r="Y70" s="457"/>
      <c r="Z70" s="457"/>
    </row>
    <row r="71" spans="1:26" s="67" customFormat="1" ht="14.25" customHeight="1">
      <c r="A71" s="357" t="s">
        <v>2627</v>
      </c>
      <c r="B71" s="353" t="s">
        <v>301</v>
      </c>
      <c r="C71" s="353" t="s">
        <v>693</v>
      </c>
      <c r="D71" s="402" t="s">
        <v>1635</v>
      </c>
      <c r="E71" s="67">
        <v>196929</v>
      </c>
      <c r="J71" s="67" t="s">
        <v>799</v>
      </c>
      <c r="K71" s="67" t="s">
        <v>793</v>
      </c>
      <c r="L71" s="67" t="s">
        <v>799</v>
      </c>
      <c r="M71" s="67" t="s">
        <v>293</v>
      </c>
      <c r="N71" s="368">
        <v>20.67705917</v>
      </c>
      <c r="O71" s="368">
        <v>92.953247070000003</v>
      </c>
      <c r="P71" s="67" t="s">
        <v>918</v>
      </c>
      <c r="Q71" s="67" t="s">
        <v>775</v>
      </c>
      <c r="R71" s="85"/>
      <c r="S71" s="357"/>
      <c r="T71" s="91"/>
      <c r="U71" s="87"/>
      <c r="X71" s="457"/>
      <c r="Y71" s="457"/>
      <c r="Z71" s="457"/>
    </row>
    <row r="72" spans="1:26" s="67" customFormat="1" ht="14.25" customHeight="1">
      <c r="A72" s="357" t="s">
        <v>2627</v>
      </c>
      <c r="B72" s="353" t="s">
        <v>301</v>
      </c>
      <c r="C72" s="353" t="s">
        <v>692</v>
      </c>
      <c r="D72" s="402" t="s">
        <v>1635</v>
      </c>
      <c r="E72" s="353">
        <v>196927</v>
      </c>
      <c r="F72" s="353" t="s">
        <v>692</v>
      </c>
      <c r="G72" s="353"/>
      <c r="H72" s="353"/>
      <c r="I72" s="353"/>
      <c r="J72" s="67" t="s">
        <v>793</v>
      </c>
      <c r="K72" s="67" t="s">
        <v>793</v>
      </c>
      <c r="L72" s="353" t="s">
        <v>793</v>
      </c>
      <c r="M72" s="353" t="s">
        <v>293</v>
      </c>
      <c r="N72" s="353">
        <v>20.697889329999999</v>
      </c>
      <c r="O72" s="353">
        <v>92.951232910000002</v>
      </c>
      <c r="P72" s="353" t="s">
        <v>794</v>
      </c>
      <c r="Q72" s="353" t="s">
        <v>775</v>
      </c>
      <c r="R72" s="356"/>
      <c r="S72" s="357"/>
      <c r="T72" s="376">
        <v>43465</v>
      </c>
      <c r="U72" s="358" t="s">
        <v>2265</v>
      </c>
      <c r="V72" s="353" t="s">
        <v>2264</v>
      </c>
      <c r="W72" s="353"/>
      <c r="X72" s="457"/>
      <c r="Y72" s="457"/>
      <c r="Z72" s="457"/>
    </row>
    <row r="73" spans="1:26" s="67" customFormat="1" ht="14.25" customHeight="1">
      <c r="A73" s="357" t="s">
        <v>2627</v>
      </c>
      <c r="B73" s="354" t="s">
        <v>301</v>
      </c>
      <c r="C73" s="354" t="s">
        <v>2211</v>
      </c>
      <c r="D73" s="402"/>
      <c r="E73" s="67">
        <v>220647</v>
      </c>
      <c r="J73" s="67" t="s">
        <v>793</v>
      </c>
      <c r="K73" s="67" t="s">
        <v>793</v>
      </c>
      <c r="L73" s="67" t="s">
        <v>793</v>
      </c>
      <c r="P73" s="67" t="s">
        <v>794</v>
      </c>
      <c r="R73" s="360"/>
      <c r="S73" s="361"/>
      <c r="T73" s="91"/>
      <c r="U73" s="87"/>
      <c r="V73" s="67" t="s">
        <v>2204</v>
      </c>
      <c r="W73" s="353"/>
      <c r="X73" s="457"/>
      <c r="Y73" s="457"/>
      <c r="Z73" s="457"/>
    </row>
    <row r="74" spans="1:26" s="67" customFormat="1" ht="14.25" customHeight="1">
      <c r="A74" s="357" t="s">
        <v>2627</v>
      </c>
      <c r="B74" s="354" t="s">
        <v>301</v>
      </c>
      <c r="C74" s="354" t="s">
        <v>2212</v>
      </c>
      <c r="D74" s="402"/>
      <c r="E74" s="67">
        <v>196755</v>
      </c>
      <c r="J74" s="67" t="s">
        <v>793</v>
      </c>
      <c r="K74" s="67" t="s">
        <v>793</v>
      </c>
      <c r="L74" s="67" t="s">
        <v>793</v>
      </c>
      <c r="N74" s="67">
        <v>20.932960510000001</v>
      </c>
      <c r="O74" s="67">
        <v>92.930267330000007</v>
      </c>
      <c r="P74" s="67" t="s">
        <v>794</v>
      </c>
      <c r="R74" s="356"/>
      <c r="S74" s="86"/>
      <c r="T74" s="91"/>
      <c r="U74" s="87"/>
      <c r="V74" s="67" t="s">
        <v>2205</v>
      </c>
      <c r="W74" s="353"/>
      <c r="X74" s="457"/>
      <c r="Y74" s="457"/>
      <c r="Z74" s="457"/>
    </row>
    <row r="75" spans="1:26" s="67" customFormat="1" ht="14.25" customHeight="1">
      <c r="A75" s="357" t="s">
        <v>2627</v>
      </c>
      <c r="B75" s="360" t="s">
        <v>301</v>
      </c>
      <c r="C75" s="361" t="s">
        <v>342</v>
      </c>
      <c r="D75" s="355" t="s">
        <v>1635</v>
      </c>
      <c r="J75" s="67" t="s">
        <v>793</v>
      </c>
      <c r="K75" s="67" t="s">
        <v>793</v>
      </c>
      <c r="L75" s="67" t="s">
        <v>793</v>
      </c>
      <c r="M75" s="67" t="s">
        <v>293</v>
      </c>
      <c r="P75" s="67" t="s">
        <v>794</v>
      </c>
      <c r="Q75" s="67" t="s">
        <v>775</v>
      </c>
      <c r="R75" s="364"/>
      <c r="S75" s="357"/>
      <c r="T75" s="91"/>
      <c r="U75" s="87"/>
      <c r="X75" s="457"/>
      <c r="Y75" s="457"/>
      <c r="Z75" s="457"/>
    </row>
    <row r="76" spans="1:26" s="67" customFormat="1" ht="14.25" customHeight="1">
      <c r="A76" s="357" t="s">
        <v>2627</v>
      </c>
      <c r="B76" s="360" t="s">
        <v>301</v>
      </c>
      <c r="C76" s="361" t="s">
        <v>629</v>
      </c>
      <c r="D76" s="355" t="s">
        <v>1635</v>
      </c>
      <c r="E76" s="353">
        <v>196880</v>
      </c>
      <c r="F76" s="353"/>
      <c r="G76" s="353"/>
      <c r="H76" s="353"/>
      <c r="I76" s="353"/>
      <c r="J76" s="353" t="s">
        <v>799</v>
      </c>
      <c r="K76" s="353" t="s">
        <v>793</v>
      </c>
      <c r="L76" s="353" t="s">
        <v>799</v>
      </c>
      <c r="M76" s="353" t="s">
        <v>1979</v>
      </c>
      <c r="N76" s="353">
        <v>20.831729889999998</v>
      </c>
      <c r="O76" s="354">
        <v>92.919639590000003</v>
      </c>
      <c r="P76" s="353" t="s">
        <v>918</v>
      </c>
      <c r="Q76" s="353" t="s">
        <v>921</v>
      </c>
      <c r="R76" s="364"/>
      <c r="S76" s="357"/>
      <c r="T76" s="376">
        <v>43011</v>
      </c>
      <c r="U76" s="358" t="s">
        <v>922</v>
      </c>
      <c r="V76" s="353"/>
      <c r="W76" s="353"/>
      <c r="X76" s="457"/>
      <c r="Y76" s="457"/>
      <c r="Z76" s="457"/>
    </row>
    <row r="77" spans="1:26" s="67" customFormat="1" ht="14.25" customHeight="1">
      <c r="A77" s="357" t="s">
        <v>2627</v>
      </c>
      <c r="B77" s="360" t="s">
        <v>301</v>
      </c>
      <c r="C77" s="361" t="s">
        <v>592</v>
      </c>
      <c r="D77" s="402" t="s">
        <v>2689</v>
      </c>
      <c r="E77" s="67" t="s">
        <v>1385</v>
      </c>
      <c r="F77" s="67" t="s">
        <v>1729</v>
      </c>
      <c r="G77" s="67" t="s">
        <v>1730</v>
      </c>
      <c r="J77" s="67" t="s">
        <v>793</v>
      </c>
      <c r="K77" s="353" t="s">
        <v>793</v>
      </c>
      <c r="L77" s="353" t="s">
        <v>878</v>
      </c>
      <c r="M77" s="67" t="s">
        <v>790</v>
      </c>
      <c r="N77" s="67">
        <v>20.78332</v>
      </c>
      <c r="O77" s="67">
        <v>92.987399999999994</v>
      </c>
      <c r="P77" s="67" t="s">
        <v>794</v>
      </c>
      <c r="Q77" s="67" t="s">
        <v>775</v>
      </c>
      <c r="R77" s="85"/>
      <c r="S77" s="357"/>
      <c r="T77" s="91"/>
      <c r="U77" s="87"/>
      <c r="V77" s="67" t="s">
        <v>592</v>
      </c>
      <c r="W77" s="353"/>
      <c r="X77" s="457"/>
      <c r="Y77" s="457"/>
      <c r="Z77" s="457"/>
    </row>
    <row r="78" spans="1:26" s="67" customFormat="1" ht="14.25" customHeight="1">
      <c r="A78" s="357" t="s">
        <v>2627</v>
      </c>
      <c r="B78" s="354" t="s">
        <v>301</v>
      </c>
      <c r="C78" s="354" t="s">
        <v>594</v>
      </c>
      <c r="D78" s="402" t="s">
        <v>1635</v>
      </c>
      <c r="E78" s="67">
        <v>196869</v>
      </c>
      <c r="J78" s="67" t="s">
        <v>793</v>
      </c>
      <c r="K78" s="353" t="s">
        <v>793</v>
      </c>
      <c r="L78" s="353" t="s">
        <v>793</v>
      </c>
      <c r="M78" s="67" t="s">
        <v>293</v>
      </c>
      <c r="N78" s="368">
        <v>20.785699839999999</v>
      </c>
      <c r="O78" s="368">
        <v>92.986633299999994</v>
      </c>
      <c r="P78" s="67" t="s">
        <v>794</v>
      </c>
      <c r="Q78" s="67" t="s">
        <v>775</v>
      </c>
      <c r="R78" s="356"/>
      <c r="S78" s="357"/>
      <c r="T78" s="91"/>
      <c r="U78" s="87"/>
      <c r="V78" s="67" t="s">
        <v>594</v>
      </c>
      <c r="X78" s="457"/>
      <c r="Y78" s="457"/>
      <c r="Z78" s="457"/>
    </row>
    <row r="79" spans="1:26" s="67" customFormat="1" ht="14.25" customHeight="1">
      <c r="A79" s="357" t="s">
        <v>2627</v>
      </c>
      <c r="B79" s="360" t="s">
        <v>301</v>
      </c>
      <c r="C79" s="361" t="s">
        <v>945</v>
      </c>
      <c r="D79" s="402" t="s">
        <v>2689</v>
      </c>
      <c r="E79" s="67" t="s">
        <v>1397</v>
      </c>
      <c r="F79" s="67" t="s">
        <v>1840</v>
      </c>
      <c r="G79" s="67" t="s">
        <v>1841</v>
      </c>
      <c r="J79" s="67" t="s">
        <v>793</v>
      </c>
      <c r="K79" s="67" t="s">
        <v>793</v>
      </c>
      <c r="L79" s="67" t="s">
        <v>878</v>
      </c>
      <c r="M79" s="67" t="s">
        <v>790</v>
      </c>
      <c r="N79" s="67">
        <v>20.929649000000001</v>
      </c>
      <c r="O79" s="67">
        <v>93.000815000000003</v>
      </c>
      <c r="P79" s="67" t="s">
        <v>794</v>
      </c>
      <c r="R79" s="356"/>
      <c r="S79" s="86"/>
      <c r="T79" s="91"/>
      <c r="U79" s="87" t="s">
        <v>855</v>
      </c>
      <c r="V79" s="67" t="s">
        <v>945</v>
      </c>
      <c r="X79" s="457"/>
      <c r="Y79" s="457"/>
      <c r="Z79" s="457"/>
    </row>
    <row r="80" spans="1:26" s="67" customFormat="1" ht="14.25" customHeight="1">
      <c r="A80" s="357" t="s">
        <v>2627</v>
      </c>
      <c r="B80" s="354" t="s">
        <v>301</v>
      </c>
      <c r="C80" s="354" t="s">
        <v>689</v>
      </c>
      <c r="D80" s="402" t="s">
        <v>1635</v>
      </c>
      <c r="E80" s="67">
        <v>196823</v>
      </c>
      <c r="J80" s="67" t="s">
        <v>799</v>
      </c>
      <c r="K80" s="67" t="s">
        <v>793</v>
      </c>
      <c r="L80" s="67" t="s">
        <v>799</v>
      </c>
      <c r="M80" s="67" t="s">
        <v>790</v>
      </c>
      <c r="N80" s="67">
        <v>20.85956955</v>
      </c>
      <c r="O80" s="67">
        <v>92.941146849999996</v>
      </c>
      <c r="P80" s="67" t="s">
        <v>918</v>
      </c>
      <c r="Q80" s="67" t="s">
        <v>775</v>
      </c>
      <c r="R80" s="356"/>
      <c r="S80" s="86"/>
      <c r="T80" s="91"/>
      <c r="U80" s="87"/>
      <c r="W80" s="353"/>
      <c r="X80" s="457"/>
      <c r="Y80" s="457"/>
      <c r="Z80" s="457"/>
    </row>
    <row r="81" spans="1:26" s="67" customFormat="1" ht="14.25" customHeight="1">
      <c r="A81" s="357" t="s">
        <v>2627</v>
      </c>
      <c r="B81" s="354" t="s">
        <v>301</v>
      </c>
      <c r="C81" s="354" t="s">
        <v>637</v>
      </c>
      <c r="D81" s="402" t="s">
        <v>1635</v>
      </c>
      <c r="E81" s="67">
        <v>196817</v>
      </c>
      <c r="J81" s="67" t="s">
        <v>799</v>
      </c>
      <c r="K81" s="67" t="s">
        <v>793</v>
      </c>
      <c r="L81" s="67" t="s">
        <v>799</v>
      </c>
      <c r="M81" s="67" t="s">
        <v>790</v>
      </c>
      <c r="N81" s="67">
        <v>20.864519120000001</v>
      </c>
      <c r="O81" s="67">
        <v>92.940399170000006</v>
      </c>
      <c r="P81" s="67" t="s">
        <v>918</v>
      </c>
      <c r="Q81" s="67" t="s">
        <v>921</v>
      </c>
      <c r="R81" s="356"/>
      <c r="S81" s="86"/>
      <c r="T81" s="91">
        <v>43011</v>
      </c>
      <c r="U81" s="87" t="s">
        <v>922</v>
      </c>
      <c r="X81" s="457"/>
      <c r="Y81" s="457"/>
      <c r="Z81" s="457"/>
    </row>
    <row r="82" spans="1:26" s="67" customFormat="1" ht="14.25" customHeight="1">
      <c r="A82" s="357" t="s">
        <v>2627</v>
      </c>
      <c r="B82" s="360" t="s">
        <v>301</v>
      </c>
      <c r="C82" s="361" t="s">
        <v>1980</v>
      </c>
      <c r="D82" s="355" t="s">
        <v>1635</v>
      </c>
      <c r="E82" s="67">
        <v>196818</v>
      </c>
      <c r="J82" s="67" t="s">
        <v>799</v>
      </c>
      <c r="K82" s="67" t="s">
        <v>793</v>
      </c>
      <c r="L82" s="67" t="s">
        <v>799</v>
      </c>
      <c r="M82" s="67" t="s">
        <v>790</v>
      </c>
      <c r="P82" s="67" t="s">
        <v>918</v>
      </c>
      <c r="Q82" s="67" t="s">
        <v>921</v>
      </c>
      <c r="R82" s="364"/>
      <c r="S82" s="357"/>
      <c r="T82" s="91">
        <v>43011</v>
      </c>
      <c r="U82" s="87" t="s">
        <v>922</v>
      </c>
      <c r="X82" s="457"/>
      <c r="Y82" s="457"/>
      <c r="Z82" s="457"/>
    </row>
    <row r="83" spans="1:26" s="67" customFormat="1" ht="14.25" customHeight="1">
      <c r="A83" s="357" t="s">
        <v>2627</v>
      </c>
      <c r="B83" s="360" t="s">
        <v>301</v>
      </c>
      <c r="C83" s="361" t="s">
        <v>2697</v>
      </c>
      <c r="D83" s="355"/>
      <c r="E83" s="67">
        <v>196911</v>
      </c>
      <c r="J83" s="67" t="s">
        <v>2632</v>
      </c>
      <c r="K83" s="67" t="s">
        <v>2600</v>
      </c>
      <c r="L83" s="67" t="s">
        <v>2600</v>
      </c>
      <c r="N83" s="67">
        <v>20.674160003662099</v>
      </c>
      <c r="O83" s="67">
        <v>92.9078369140625</v>
      </c>
      <c r="R83" s="364"/>
      <c r="S83" s="357"/>
      <c r="T83" s="91">
        <v>43591</v>
      </c>
      <c r="U83" s="364"/>
      <c r="W83" s="356"/>
      <c r="X83" s="457"/>
      <c r="Y83" s="457"/>
      <c r="Z83" s="457"/>
    </row>
    <row r="84" spans="1:26" s="67" customFormat="1" ht="14.25" customHeight="1">
      <c r="A84" s="357" t="s">
        <v>2627</v>
      </c>
      <c r="B84" s="354" t="s">
        <v>301</v>
      </c>
      <c r="C84" s="354" t="s">
        <v>613</v>
      </c>
      <c r="D84" s="402" t="s">
        <v>1635</v>
      </c>
      <c r="E84" s="67">
        <v>196873</v>
      </c>
      <c r="F84" s="359"/>
      <c r="J84" s="67" t="s">
        <v>793</v>
      </c>
      <c r="K84" s="67" t="s">
        <v>793</v>
      </c>
      <c r="L84" s="67" t="s">
        <v>793</v>
      </c>
      <c r="M84" s="67" t="s">
        <v>293</v>
      </c>
      <c r="N84" s="67">
        <v>20.8064003</v>
      </c>
      <c r="O84" s="67">
        <v>92.982147220000002</v>
      </c>
      <c r="P84" s="67" t="s">
        <v>794</v>
      </c>
      <c r="Q84" s="67" t="s">
        <v>775</v>
      </c>
      <c r="R84" s="356"/>
      <c r="S84" s="357"/>
      <c r="T84" s="91"/>
      <c r="U84" s="87"/>
      <c r="V84" s="67" t="s">
        <v>613</v>
      </c>
      <c r="W84" s="353"/>
      <c r="X84" s="457"/>
      <c r="Y84" s="457"/>
      <c r="Z84" s="457"/>
    </row>
    <row r="85" spans="1:26" s="67" customFormat="1" ht="14.25" customHeight="1">
      <c r="A85" s="357" t="s">
        <v>2627</v>
      </c>
      <c r="B85" s="167" t="s">
        <v>301</v>
      </c>
      <c r="C85" s="168" t="s">
        <v>2519</v>
      </c>
      <c r="D85" s="355"/>
      <c r="E85" s="163">
        <v>196673</v>
      </c>
      <c r="F85" s="163"/>
      <c r="G85" s="163"/>
      <c r="H85" s="163"/>
      <c r="I85" s="163"/>
      <c r="J85" s="67" t="s">
        <v>2632</v>
      </c>
      <c r="K85" s="67" t="s">
        <v>2600</v>
      </c>
      <c r="L85" s="163" t="s">
        <v>2600</v>
      </c>
      <c r="M85" s="163"/>
      <c r="N85" s="163"/>
      <c r="O85" s="163"/>
      <c r="P85" s="163"/>
      <c r="Q85" s="163"/>
      <c r="R85" s="164"/>
      <c r="S85" s="162"/>
      <c r="T85" s="165"/>
      <c r="U85" s="166"/>
      <c r="V85" s="163"/>
      <c r="W85" s="356"/>
      <c r="X85" s="457"/>
      <c r="Y85" s="457"/>
      <c r="Z85" s="457"/>
    </row>
    <row r="86" spans="1:26" s="67" customFormat="1" ht="14.25" customHeight="1">
      <c r="A86" s="357" t="s">
        <v>2627</v>
      </c>
      <c r="B86" s="360" t="s">
        <v>301</v>
      </c>
      <c r="C86" s="361" t="s">
        <v>949</v>
      </c>
      <c r="D86" s="355" t="s">
        <v>1635</v>
      </c>
      <c r="E86" s="67">
        <v>196767</v>
      </c>
      <c r="J86" s="67" t="s">
        <v>793</v>
      </c>
      <c r="K86" s="67" t="s">
        <v>793</v>
      </c>
      <c r="L86" s="67" t="s">
        <v>793</v>
      </c>
      <c r="M86" s="67" t="s">
        <v>293</v>
      </c>
      <c r="N86" s="67">
        <v>21.006929400000001</v>
      </c>
      <c r="O86" s="67">
        <v>92.981040949999993</v>
      </c>
      <c r="P86" s="67" t="s">
        <v>794</v>
      </c>
      <c r="R86" s="364"/>
      <c r="S86" s="86"/>
      <c r="T86" s="91"/>
      <c r="U86" s="87"/>
      <c r="V86" s="67" t="s">
        <v>949</v>
      </c>
      <c r="W86" s="353"/>
      <c r="X86" s="457"/>
      <c r="Y86" s="457"/>
      <c r="Z86" s="457"/>
    </row>
    <row r="87" spans="1:26" s="67" customFormat="1" ht="14.25" customHeight="1">
      <c r="A87" s="357" t="s">
        <v>2627</v>
      </c>
      <c r="B87" s="354" t="s">
        <v>301</v>
      </c>
      <c r="C87" s="354" t="s">
        <v>691</v>
      </c>
      <c r="D87" s="402" t="s">
        <v>1635</v>
      </c>
      <c r="E87" s="67">
        <v>196886</v>
      </c>
      <c r="J87" s="67" t="s">
        <v>799</v>
      </c>
      <c r="K87" s="67" t="s">
        <v>793</v>
      </c>
      <c r="L87" s="67" t="s">
        <v>799</v>
      </c>
      <c r="M87" s="67" t="s">
        <v>293</v>
      </c>
      <c r="N87" s="67">
        <v>20.803710939999998</v>
      </c>
      <c r="O87" s="67">
        <v>92.946136469999999</v>
      </c>
      <c r="P87" s="67" t="s">
        <v>918</v>
      </c>
      <c r="Q87" s="67" t="s">
        <v>775</v>
      </c>
      <c r="R87" s="85"/>
      <c r="S87" s="357"/>
      <c r="T87" s="91"/>
      <c r="U87" s="87"/>
      <c r="W87" s="353"/>
      <c r="X87" s="457"/>
      <c r="Y87" s="457"/>
      <c r="Z87" s="457"/>
    </row>
    <row r="88" spans="1:26" s="67" customFormat="1" ht="14.25" customHeight="1">
      <c r="A88" s="357" t="s">
        <v>2627</v>
      </c>
      <c r="B88" s="360" t="s">
        <v>301</v>
      </c>
      <c r="C88" s="361" t="s">
        <v>934</v>
      </c>
      <c r="D88" s="355" t="s">
        <v>1635</v>
      </c>
      <c r="E88" s="67">
        <v>196885</v>
      </c>
      <c r="J88" s="67" t="s">
        <v>799</v>
      </c>
      <c r="K88" s="67" t="s">
        <v>793</v>
      </c>
      <c r="L88" s="67" t="s">
        <v>799</v>
      </c>
      <c r="N88" s="67">
        <v>20.80635071</v>
      </c>
      <c r="O88" s="67">
        <v>92.948310849999999</v>
      </c>
      <c r="P88" s="67" t="s">
        <v>918</v>
      </c>
      <c r="Q88" s="67" t="s">
        <v>921</v>
      </c>
      <c r="R88" s="364"/>
      <c r="S88" s="357"/>
      <c r="T88" s="91">
        <v>43011</v>
      </c>
      <c r="U88" s="87" t="s">
        <v>922</v>
      </c>
      <c r="W88" s="353"/>
      <c r="X88" s="457"/>
      <c r="Y88" s="457"/>
      <c r="Z88" s="457"/>
    </row>
    <row r="89" spans="1:26" s="67" customFormat="1" ht="14.25" customHeight="1">
      <c r="A89" s="357" t="s">
        <v>2627</v>
      </c>
      <c r="B89" s="360" t="s">
        <v>301</v>
      </c>
      <c r="C89" s="361" t="s">
        <v>2266</v>
      </c>
      <c r="D89" s="355"/>
      <c r="E89" s="67">
        <v>196932</v>
      </c>
      <c r="F89" s="67" t="s">
        <v>866</v>
      </c>
      <c r="J89" s="67" t="s">
        <v>793</v>
      </c>
      <c r="K89" s="67" t="s">
        <v>793</v>
      </c>
      <c r="L89" s="67" t="s">
        <v>793</v>
      </c>
      <c r="N89" s="67">
        <v>20.655569</v>
      </c>
      <c r="O89" s="67">
        <v>92.959709000000004</v>
      </c>
      <c r="P89" s="67" t="s">
        <v>794</v>
      </c>
      <c r="Q89" s="67" t="s">
        <v>2223</v>
      </c>
      <c r="R89" s="364"/>
      <c r="S89" s="86"/>
      <c r="T89" s="91">
        <v>43465</v>
      </c>
      <c r="U89" s="87" t="s">
        <v>2265</v>
      </c>
      <c r="V89" s="67" t="s">
        <v>2260</v>
      </c>
      <c r="W89" s="353"/>
      <c r="X89" s="457"/>
      <c r="Y89" s="457"/>
      <c r="Z89" s="457"/>
    </row>
    <row r="90" spans="1:26" s="67" customFormat="1" ht="14.25" customHeight="1">
      <c r="A90" s="357" t="s">
        <v>2627</v>
      </c>
      <c r="B90" s="354" t="s">
        <v>301</v>
      </c>
      <c r="C90" s="354" t="s">
        <v>2213</v>
      </c>
      <c r="D90" s="402"/>
      <c r="E90" s="67">
        <v>196893</v>
      </c>
      <c r="J90" s="67" t="s">
        <v>793</v>
      </c>
      <c r="K90" s="67" t="s">
        <v>793</v>
      </c>
      <c r="L90" s="67" t="s">
        <v>793</v>
      </c>
      <c r="N90" s="67">
        <v>20.760820389999999</v>
      </c>
      <c r="O90" s="67">
        <v>92.960083010000005</v>
      </c>
      <c r="P90" s="67" t="s">
        <v>794</v>
      </c>
      <c r="R90" s="356"/>
      <c r="S90" s="86"/>
      <c r="T90" s="91"/>
      <c r="U90" s="358"/>
      <c r="V90" s="67" t="s">
        <v>2206</v>
      </c>
      <c r="W90" s="353"/>
      <c r="X90" s="457"/>
      <c r="Y90" s="457"/>
      <c r="Z90" s="457"/>
    </row>
    <row r="91" spans="1:26" s="67" customFormat="1" ht="14.25" customHeight="1">
      <c r="A91" s="357" t="s">
        <v>2627</v>
      </c>
      <c r="B91" s="354" t="s">
        <v>301</v>
      </c>
      <c r="C91" s="354" t="s">
        <v>348</v>
      </c>
      <c r="D91" s="402" t="s">
        <v>1635</v>
      </c>
      <c r="J91" s="67" t="s">
        <v>799</v>
      </c>
      <c r="K91" s="67" t="s">
        <v>793</v>
      </c>
      <c r="L91" s="67" t="s">
        <v>799</v>
      </c>
      <c r="M91" s="67" t="s">
        <v>293</v>
      </c>
      <c r="N91" s="353"/>
      <c r="O91" s="353"/>
      <c r="P91" s="67" t="s">
        <v>918</v>
      </c>
      <c r="Q91" s="67" t="s">
        <v>921</v>
      </c>
      <c r="R91" s="85"/>
      <c r="S91" s="86"/>
      <c r="T91" s="91">
        <v>43011</v>
      </c>
      <c r="U91" s="87" t="s">
        <v>922</v>
      </c>
      <c r="X91" s="457"/>
      <c r="Y91" s="457"/>
      <c r="Z91" s="457"/>
    </row>
    <row r="92" spans="1:26" s="67" customFormat="1" ht="14.25" customHeight="1">
      <c r="A92" s="357" t="s">
        <v>2627</v>
      </c>
      <c r="B92" s="354" t="s">
        <v>301</v>
      </c>
      <c r="C92" s="354" t="s">
        <v>927</v>
      </c>
      <c r="D92" s="402"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7"/>
      <c r="Y92" s="457"/>
      <c r="Z92" s="457"/>
    </row>
    <row r="93" spans="1:26" s="67" customFormat="1" ht="14.25" customHeight="1">
      <c r="A93" s="357" t="s">
        <v>2627</v>
      </c>
      <c r="B93" s="354" t="s">
        <v>301</v>
      </c>
      <c r="C93" s="354" t="s">
        <v>2763</v>
      </c>
      <c r="D93" s="402"/>
      <c r="E93" s="67">
        <v>196923</v>
      </c>
      <c r="J93" s="67" t="s">
        <v>2632</v>
      </c>
      <c r="K93" s="67" t="s">
        <v>2600</v>
      </c>
      <c r="L93" s="67" t="s">
        <v>2600</v>
      </c>
      <c r="N93" s="67">
        <v>20.675489425659201</v>
      </c>
      <c r="O93" s="67">
        <v>92.916961669921903</v>
      </c>
      <c r="R93" s="85"/>
      <c r="S93" s="86"/>
      <c r="T93" s="91"/>
      <c r="U93" s="358"/>
      <c r="X93" s="457"/>
      <c r="Y93" s="457"/>
      <c r="Z93" s="457"/>
    </row>
    <row r="94" spans="1:26" s="67" customFormat="1" ht="14.25" customHeight="1">
      <c r="A94" s="357" t="s">
        <v>2627</v>
      </c>
      <c r="B94" s="354" t="s">
        <v>301</v>
      </c>
      <c r="C94" s="354" t="s">
        <v>1997</v>
      </c>
      <c r="D94" s="402"/>
      <c r="E94" s="353">
        <v>196828</v>
      </c>
      <c r="F94" s="353" t="s">
        <v>1733</v>
      </c>
      <c r="G94" s="353"/>
      <c r="H94" s="353"/>
      <c r="I94" s="353"/>
      <c r="J94" s="353" t="s">
        <v>793</v>
      </c>
      <c r="K94" s="353" t="s">
        <v>793</v>
      </c>
      <c r="L94" s="353" t="s">
        <v>793</v>
      </c>
      <c r="M94" s="353"/>
      <c r="N94" s="353">
        <v>20.860509870000001</v>
      </c>
      <c r="O94" s="353">
        <v>92.966751099999996</v>
      </c>
      <c r="P94" s="353" t="s">
        <v>794</v>
      </c>
      <c r="Q94" s="353"/>
      <c r="R94" s="356"/>
      <c r="S94" s="357"/>
      <c r="T94" s="376">
        <v>43297</v>
      </c>
      <c r="U94" s="358"/>
      <c r="V94" s="353"/>
      <c r="W94" s="353"/>
      <c r="X94" s="457"/>
      <c r="Y94" s="457"/>
      <c r="Z94" s="457"/>
    </row>
    <row r="95" spans="1:26" s="67" customFormat="1" ht="14.25" customHeight="1">
      <c r="A95" s="357" t="s">
        <v>2627</v>
      </c>
      <c r="B95" s="360" t="s">
        <v>301</v>
      </c>
      <c r="C95" s="361" t="s">
        <v>572</v>
      </c>
      <c r="D95" s="402" t="s">
        <v>2689</v>
      </c>
      <c r="E95" s="67" t="s">
        <v>1384</v>
      </c>
      <c r="F95" s="67" t="s">
        <v>565</v>
      </c>
      <c r="G95" s="67" t="s">
        <v>572</v>
      </c>
      <c r="J95" s="67" t="s">
        <v>793</v>
      </c>
      <c r="K95" s="67" t="s">
        <v>793</v>
      </c>
      <c r="L95" s="67" t="s">
        <v>878</v>
      </c>
      <c r="M95" s="67" t="s">
        <v>790</v>
      </c>
      <c r="N95" s="67">
        <v>20.727589999999999</v>
      </c>
      <c r="O95" s="67">
        <v>92.969350000000006</v>
      </c>
      <c r="P95" s="353" t="s">
        <v>794</v>
      </c>
      <c r="Q95" s="67" t="s">
        <v>775</v>
      </c>
      <c r="R95" s="85"/>
      <c r="S95" s="357"/>
      <c r="T95" s="91"/>
      <c r="U95" s="87"/>
      <c r="V95" s="67" t="s">
        <v>572</v>
      </c>
      <c r="W95" s="353"/>
      <c r="X95" s="457"/>
      <c r="Y95" s="457"/>
      <c r="Z95" s="457"/>
    </row>
    <row r="96" spans="1:26" s="67" customFormat="1" ht="14.25" customHeight="1">
      <c r="A96" s="357" t="s">
        <v>2627</v>
      </c>
      <c r="B96" s="360" t="s">
        <v>301</v>
      </c>
      <c r="C96" s="361" t="s">
        <v>568</v>
      </c>
      <c r="D96" s="355" t="s">
        <v>1635</v>
      </c>
      <c r="E96" s="67">
        <v>196951</v>
      </c>
      <c r="J96" s="67" t="s">
        <v>793</v>
      </c>
      <c r="K96" s="67" t="s">
        <v>793</v>
      </c>
      <c r="L96" s="67" t="s">
        <v>793</v>
      </c>
      <c r="M96" s="67" t="s">
        <v>293</v>
      </c>
      <c r="N96" s="67">
        <v>20.723630910000001</v>
      </c>
      <c r="O96" s="67">
        <v>92.974327090000003</v>
      </c>
      <c r="P96" s="67" t="s">
        <v>794</v>
      </c>
      <c r="Q96" s="67" t="s">
        <v>775</v>
      </c>
      <c r="R96" s="364"/>
      <c r="S96" s="357"/>
      <c r="T96" s="91"/>
      <c r="U96" s="87"/>
      <c r="V96" s="67" t="s">
        <v>568</v>
      </c>
      <c r="X96" s="457"/>
      <c r="Y96" s="457"/>
      <c r="Z96" s="457"/>
    </row>
    <row r="97" spans="1:26" s="67" customFormat="1" ht="14.25" customHeight="1">
      <c r="A97" s="360" t="s">
        <v>2627</v>
      </c>
      <c r="B97" s="360" t="s">
        <v>301</v>
      </c>
      <c r="C97" s="361" t="s">
        <v>2741</v>
      </c>
      <c r="D97" s="355"/>
      <c r="E97" s="67">
        <v>196981</v>
      </c>
      <c r="J97" s="67" t="s">
        <v>2632</v>
      </c>
      <c r="K97" s="353" t="s">
        <v>2600</v>
      </c>
      <c r="L97" s="353" t="s">
        <v>2600</v>
      </c>
      <c r="N97" s="67">
        <v>20.656810760498001</v>
      </c>
      <c r="O97" s="67">
        <v>93.029953002929702</v>
      </c>
      <c r="R97" s="364"/>
      <c r="S97" s="86"/>
      <c r="T97" s="91">
        <v>43591</v>
      </c>
      <c r="U97" s="364"/>
      <c r="W97" s="356"/>
      <c r="X97" s="457"/>
      <c r="Y97" s="457"/>
      <c r="Z97" s="457"/>
    </row>
    <row r="98" spans="1:26" s="67" customFormat="1" ht="14.25" customHeight="1">
      <c r="A98" s="357" t="s">
        <v>2627</v>
      </c>
      <c r="B98" s="353" t="s">
        <v>311</v>
      </c>
      <c r="C98" s="353" t="s">
        <v>871</v>
      </c>
      <c r="D98" s="402" t="s">
        <v>1635</v>
      </c>
      <c r="E98" s="67">
        <v>197171</v>
      </c>
      <c r="F98" s="379" t="s">
        <v>515</v>
      </c>
      <c r="J98" s="67" t="s">
        <v>793</v>
      </c>
      <c r="K98" s="67" t="s">
        <v>793</v>
      </c>
      <c r="L98" s="353" t="s">
        <v>793</v>
      </c>
      <c r="N98" s="67">
        <v>20.225250240000001</v>
      </c>
      <c r="O98" s="67">
        <v>93.418876650000001</v>
      </c>
      <c r="P98" s="353" t="s">
        <v>794</v>
      </c>
      <c r="R98" s="85"/>
      <c r="S98" s="357"/>
      <c r="T98" s="91"/>
      <c r="U98" s="87"/>
      <c r="V98" s="67" t="s">
        <v>872</v>
      </c>
      <c r="W98" s="353"/>
      <c r="X98" s="457"/>
      <c r="Y98" s="457"/>
      <c r="Z98" s="457"/>
    </row>
    <row r="99" spans="1:26" s="67" customFormat="1" ht="14.25" customHeight="1">
      <c r="A99" s="357" t="s">
        <v>2627</v>
      </c>
      <c r="B99" s="353" t="s">
        <v>311</v>
      </c>
      <c r="C99" s="353" t="s">
        <v>2579</v>
      </c>
      <c r="D99" s="402"/>
      <c r="E99" s="67">
        <v>197034</v>
      </c>
      <c r="J99" s="67" t="s">
        <v>793</v>
      </c>
      <c r="K99" s="67" t="s">
        <v>793</v>
      </c>
      <c r="L99" s="67" t="s">
        <v>793</v>
      </c>
      <c r="R99" s="356"/>
      <c r="S99" s="86"/>
      <c r="T99" s="91"/>
      <c r="U99" s="87"/>
      <c r="W99" s="353"/>
      <c r="X99" s="457"/>
      <c r="Y99" s="457"/>
      <c r="Z99" s="457"/>
    </row>
    <row r="100" spans="1:26" s="67" customFormat="1" ht="14.25" customHeight="1">
      <c r="A100" s="357" t="s">
        <v>2627</v>
      </c>
      <c r="B100" s="353" t="s">
        <v>311</v>
      </c>
      <c r="C100" s="353" t="s">
        <v>2576</v>
      </c>
      <c r="D100" s="402"/>
      <c r="E100" s="67">
        <v>197020</v>
      </c>
      <c r="J100" s="67" t="s">
        <v>793</v>
      </c>
      <c r="K100" s="67" t="s">
        <v>793</v>
      </c>
      <c r="L100" s="67" t="s">
        <v>793</v>
      </c>
      <c r="R100" s="356"/>
      <c r="S100" s="357"/>
      <c r="T100" s="91"/>
      <c r="U100" s="87"/>
      <c r="X100" s="457"/>
      <c r="Y100" s="457"/>
      <c r="Z100" s="457"/>
    </row>
    <row r="101" spans="1:26" s="67" customFormat="1" ht="14.25" customHeight="1">
      <c r="A101" s="357" t="s">
        <v>2627</v>
      </c>
      <c r="B101" s="353" t="s">
        <v>311</v>
      </c>
      <c r="C101" s="67" t="s">
        <v>2594</v>
      </c>
      <c r="D101" s="402"/>
      <c r="E101" s="353">
        <v>220651</v>
      </c>
      <c r="J101" s="67" t="s">
        <v>793</v>
      </c>
      <c r="K101" s="67" t="s">
        <v>793</v>
      </c>
      <c r="L101" s="67" t="s">
        <v>793</v>
      </c>
      <c r="N101" s="353"/>
      <c r="O101" s="353"/>
      <c r="R101" s="85"/>
      <c r="S101" s="357"/>
      <c r="T101" s="91"/>
      <c r="U101" s="87"/>
      <c r="X101" s="457"/>
      <c r="Y101" s="457"/>
      <c r="Z101" s="457"/>
    </row>
    <row r="102" spans="1:26" s="67" customFormat="1" ht="14.25" customHeight="1">
      <c r="A102" s="357" t="s">
        <v>2627</v>
      </c>
      <c r="B102" s="353" t="s">
        <v>311</v>
      </c>
      <c r="C102" s="67" t="s">
        <v>894</v>
      </c>
      <c r="D102" s="402" t="s">
        <v>2689</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3"/>
      <c r="X102" s="457"/>
      <c r="Y102" s="457"/>
      <c r="Z102" s="457"/>
    </row>
    <row r="103" spans="1:26" s="67" customFormat="1" ht="14.25" customHeight="1">
      <c r="A103" s="357" t="s">
        <v>2627</v>
      </c>
      <c r="B103" s="353" t="s">
        <v>311</v>
      </c>
      <c r="C103" s="353" t="s">
        <v>2588</v>
      </c>
      <c r="D103" s="402"/>
      <c r="E103" s="67">
        <v>197090</v>
      </c>
      <c r="J103" s="67" t="s">
        <v>793</v>
      </c>
      <c r="K103" s="67" t="s">
        <v>793</v>
      </c>
      <c r="L103" s="353" t="s">
        <v>793</v>
      </c>
      <c r="P103" s="353"/>
      <c r="R103" s="85"/>
      <c r="S103" s="357"/>
      <c r="T103" s="91"/>
      <c r="U103" s="358"/>
      <c r="W103" s="353"/>
      <c r="X103" s="457"/>
      <c r="Y103" s="457"/>
      <c r="Z103" s="457"/>
    </row>
    <row r="104" spans="1:26" s="67" customFormat="1" ht="14.25" customHeight="1">
      <c r="A104" s="86" t="s">
        <v>2627</v>
      </c>
      <c r="B104" s="353" t="s">
        <v>311</v>
      </c>
      <c r="C104" s="353" t="s">
        <v>461</v>
      </c>
      <c r="D104" s="402" t="s">
        <v>1635</v>
      </c>
      <c r="E104" s="353">
        <v>196994</v>
      </c>
      <c r="J104" s="67" t="s">
        <v>793</v>
      </c>
      <c r="K104" s="67" t="s">
        <v>793</v>
      </c>
      <c r="L104" s="67" t="s">
        <v>793</v>
      </c>
      <c r="M104" s="67" t="s">
        <v>884</v>
      </c>
      <c r="N104" s="353">
        <v>20.394809720000001</v>
      </c>
      <c r="O104" s="353">
        <v>93.251609799999997</v>
      </c>
      <c r="P104" s="353" t="s">
        <v>794</v>
      </c>
      <c r="Q104" s="67" t="s">
        <v>775</v>
      </c>
      <c r="R104" s="356"/>
      <c r="S104" s="357"/>
      <c r="T104" s="91"/>
      <c r="U104" s="87"/>
      <c r="V104" s="67" t="s">
        <v>885</v>
      </c>
      <c r="W104" s="353"/>
      <c r="X104" s="457"/>
      <c r="Y104" s="457"/>
      <c r="Z104" s="457"/>
    </row>
    <row r="105" spans="1:26" s="67" customFormat="1" ht="14.25" customHeight="1">
      <c r="A105" s="357" t="s">
        <v>2627</v>
      </c>
      <c r="B105" s="353" t="s">
        <v>311</v>
      </c>
      <c r="C105" s="353" t="s">
        <v>312</v>
      </c>
      <c r="D105" s="402" t="s">
        <v>1635</v>
      </c>
      <c r="E105" s="67">
        <v>197174</v>
      </c>
      <c r="F105" s="353"/>
      <c r="J105" s="67" t="s">
        <v>793</v>
      </c>
      <c r="K105" s="353" t="s">
        <v>793</v>
      </c>
      <c r="L105" s="353" t="s">
        <v>793</v>
      </c>
      <c r="M105" s="67" t="s">
        <v>293</v>
      </c>
      <c r="P105" s="67" t="s">
        <v>794</v>
      </c>
      <c r="Q105" s="67" t="s">
        <v>775</v>
      </c>
      <c r="R105" s="356"/>
      <c r="S105" s="357"/>
      <c r="T105" s="91" t="s">
        <v>800</v>
      </c>
      <c r="U105" s="87"/>
      <c r="W105" s="353"/>
      <c r="X105" s="457"/>
      <c r="Y105" s="457"/>
      <c r="Z105" s="457"/>
    </row>
    <row r="106" spans="1:26" s="67" customFormat="1" ht="14.25" customHeight="1">
      <c r="A106" s="357" t="s">
        <v>2627</v>
      </c>
      <c r="B106" s="353" t="s">
        <v>311</v>
      </c>
      <c r="C106" s="353" t="s">
        <v>2592</v>
      </c>
      <c r="D106" s="402"/>
      <c r="E106" s="67">
        <v>197099</v>
      </c>
      <c r="J106" s="67" t="s">
        <v>793</v>
      </c>
      <c r="K106" s="67" t="s">
        <v>793</v>
      </c>
      <c r="L106" s="67" t="s">
        <v>793</v>
      </c>
      <c r="P106" s="353"/>
      <c r="R106" s="85"/>
      <c r="S106" s="357"/>
      <c r="T106" s="91"/>
      <c r="U106" s="358"/>
      <c r="W106" s="353"/>
      <c r="X106" s="457"/>
      <c r="Y106" s="457"/>
      <c r="Z106" s="457"/>
    </row>
    <row r="107" spans="1:26" s="67" customFormat="1" ht="14.25" customHeight="1">
      <c r="A107" s="357" t="s">
        <v>2627</v>
      </c>
      <c r="B107" s="353" t="s">
        <v>311</v>
      </c>
      <c r="C107" s="353" t="s">
        <v>866</v>
      </c>
      <c r="D107" s="402" t="s">
        <v>1635</v>
      </c>
      <c r="E107" s="67">
        <v>197176</v>
      </c>
      <c r="F107" s="67" t="s">
        <v>515</v>
      </c>
      <c r="J107" s="67" t="s">
        <v>793</v>
      </c>
      <c r="K107" s="67" t="s">
        <v>793</v>
      </c>
      <c r="L107" s="67" t="s">
        <v>793</v>
      </c>
      <c r="M107" s="67" t="s">
        <v>790</v>
      </c>
      <c r="N107" s="67">
        <v>20.203340529999998</v>
      </c>
      <c r="O107" s="67">
        <v>93.426139829999997</v>
      </c>
      <c r="P107" s="67" t="s">
        <v>794</v>
      </c>
      <c r="R107" s="356"/>
      <c r="S107" s="357"/>
      <c r="T107" s="91"/>
      <c r="U107" s="353"/>
      <c r="V107" s="67" t="s">
        <v>867</v>
      </c>
      <c r="X107" s="457"/>
      <c r="Y107" s="457"/>
      <c r="Z107" s="457"/>
    </row>
    <row r="108" spans="1:26" s="67" customFormat="1" ht="14.25" customHeight="1">
      <c r="A108" s="357" t="s">
        <v>2627</v>
      </c>
      <c r="B108" s="353" t="s">
        <v>311</v>
      </c>
      <c r="C108" s="353" t="s">
        <v>2597</v>
      </c>
      <c r="D108" s="402"/>
      <c r="E108" s="353">
        <v>197111</v>
      </c>
      <c r="F108" s="353"/>
      <c r="G108" s="353"/>
      <c r="H108" s="353"/>
      <c r="I108" s="353"/>
      <c r="J108" s="67" t="s">
        <v>793</v>
      </c>
      <c r="K108" s="353" t="s">
        <v>793</v>
      </c>
      <c r="L108" s="353" t="s">
        <v>793</v>
      </c>
      <c r="R108" s="356"/>
      <c r="S108" s="357"/>
      <c r="T108" s="91"/>
      <c r="U108" s="87"/>
      <c r="X108" s="457"/>
      <c r="Y108" s="457"/>
      <c r="Z108" s="457"/>
    </row>
    <row r="109" spans="1:26" s="67" customFormat="1" ht="14.25" customHeight="1">
      <c r="A109" s="360" t="s">
        <v>2627</v>
      </c>
      <c r="B109" s="360" t="s">
        <v>311</v>
      </c>
      <c r="C109" s="361" t="s">
        <v>2703</v>
      </c>
      <c r="D109" s="355"/>
      <c r="J109" s="67" t="s">
        <v>2632</v>
      </c>
      <c r="K109" s="67" t="s">
        <v>2600</v>
      </c>
      <c r="L109" s="67" t="s">
        <v>2600</v>
      </c>
      <c r="R109" s="364"/>
      <c r="S109" s="357"/>
      <c r="T109" s="91">
        <v>43591</v>
      </c>
      <c r="U109" s="364"/>
      <c r="W109" s="356"/>
      <c r="X109" s="457"/>
      <c r="Y109" s="457"/>
      <c r="Z109" s="457"/>
    </row>
    <row r="110" spans="1:26" s="67" customFormat="1" ht="14.25" customHeight="1">
      <c r="A110" s="357" t="s">
        <v>2627</v>
      </c>
      <c r="B110" s="353" t="s">
        <v>311</v>
      </c>
      <c r="C110" s="353" t="s">
        <v>2585</v>
      </c>
      <c r="D110" s="402"/>
      <c r="E110" s="67">
        <v>197042</v>
      </c>
      <c r="J110" s="67" t="s">
        <v>793</v>
      </c>
      <c r="K110" s="67" t="s">
        <v>793</v>
      </c>
      <c r="L110" s="67" t="s">
        <v>793</v>
      </c>
      <c r="R110" s="85"/>
      <c r="S110" s="357"/>
      <c r="T110" s="91"/>
      <c r="U110" s="87"/>
      <c r="X110" s="457"/>
      <c r="Y110" s="457"/>
      <c r="Z110" s="457"/>
    </row>
    <row r="111" spans="1:26" s="67" customFormat="1" ht="14.25" customHeight="1">
      <c r="A111" s="357" t="s">
        <v>2627</v>
      </c>
      <c r="B111" s="353" t="s">
        <v>311</v>
      </c>
      <c r="C111" s="353" t="s">
        <v>463</v>
      </c>
      <c r="D111" s="402" t="s">
        <v>1635</v>
      </c>
      <c r="E111" s="67">
        <v>196996</v>
      </c>
      <c r="J111" s="67" t="s">
        <v>793</v>
      </c>
      <c r="K111" s="67" t="s">
        <v>793</v>
      </c>
      <c r="L111" s="67" t="s">
        <v>793</v>
      </c>
      <c r="M111" s="67" t="s">
        <v>293</v>
      </c>
      <c r="N111" s="67">
        <v>20.398889539999999</v>
      </c>
      <c r="O111" s="67">
        <v>93.25405121</v>
      </c>
      <c r="P111" s="67" t="s">
        <v>794</v>
      </c>
      <c r="Q111" s="67" t="s">
        <v>775</v>
      </c>
      <c r="R111" s="356"/>
      <c r="S111" s="357"/>
      <c r="T111" s="91"/>
      <c r="U111" s="87"/>
      <c r="V111" s="67" t="s">
        <v>463</v>
      </c>
      <c r="X111" s="457"/>
      <c r="Y111" s="457"/>
      <c r="Z111" s="457"/>
    </row>
    <row r="112" spans="1:26" s="67" customFormat="1" ht="14.25" customHeight="1">
      <c r="A112" s="357" t="s">
        <v>2627</v>
      </c>
      <c r="B112" s="353" t="s">
        <v>311</v>
      </c>
      <c r="C112" s="353" t="s">
        <v>2586</v>
      </c>
      <c r="D112" s="402"/>
      <c r="E112" s="67">
        <v>197043</v>
      </c>
      <c r="J112" s="67" t="s">
        <v>793</v>
      </c>
      <c r="K112" s="67" t="s">
        <v>793</v>
      </c>
      <c r="L112" s="67" t="s">
        <v>793</v>
      </c>
      <c r="R112" s="356"/>
      <c r="S112" s="86"/>
      <c r="T112" s="91"/>
      <c r="U112" s="87"/>
      <c r="W112" s="353"/>
      <c r="X112" s="457"/>
      <c r="Y112" s="457"/>
      <c r="Z112" s="457"/>
    </row>
    <row r="113" spans="1:26" s="67" customFormat="1" ht="14.25" customHeight="1">
      <c r="A113" s="357" t="s">
        <v>2627</v>
      </c>
      <c r="B113" s="353" t="s">
        <v>311</v>
      </c>
      <c r="C113" s="353" t="s">
        <v>443</v>
      </c>
      <c r="D113" s="402" t="s">
        <v>1635</v>
      </c>
      <c r="E113" s="67">
        <v>220671</v>
      </c>
      <c r="J113" s="67" t="s">
        <v>793</v>
      </c>
      <c r="K113" s="67" t="s">
        <v>793</v>
      </c>
      <c r="L113" s="67" t="s">
        <v>793</v>
      </c>
      <c r="M113" s="67" t="s">
        <v>293</v>
      </c>
      <c r="N113" s="67">
        <v>20.218471529999999</v>
      </c>
      <c r="O113" s="67">
        <v>93.424331670000001</v>
      </c>
      <c r="P113" s="67" t="s">
        <v>794</v>
      </c>
      <c r="Q113" s="67" t="s">
        <v>775</v>
      </c>
      <c r="R113" s="356"/>
      <c r="S113" s="357"/>
      <c r="T113" s="91"/>
      <c r="U113" s="87"/>
      <c r="V113" s="67" t="s">
        <v>869</v>
      </c>
      <c r="W113" s="353"/>
      <c r="X113" s="457"/>
      <c r="Y113" s="457"/>
      <c r="Z113" s="457"/>
    </row>
    <row r="114" spans="1:26" s="67" customFormat="1" ht="14.25" customHeight="1">
      <c r="A114" s="357" t="s">
        <v>2627</v>
      </c>
      <c r="B114" s="353" t="s">
        <v>311</v>
      </c>
      <c r="C114" s="353" t="s">
        <v>2574</v>
      </c>
      <c r="D114" s="402"/>
      <c r="E114" s="67">
        <v>197017</v>
      </c>
      <c r="J114" s="67" t="s">
        <v>793</v>
      </c>
      <c r="K114" s="67" t="s">
        <v>793</v>
      </c>
      <c r="L114" s="67" t="s">
        <v>793</v>
      </c>
      <c r="R114" s="85"/>
      <c r="S114" s="357"/>
      <c r="T114" s="91"/>
      <c r="U114" s="87"/>
      <c r="X114" s="457"/>
      <c r="Y114" s="457"/>
      <c r="Z114" s="457"/>
    </row>
    <row r="115" spans="1:26" s="67" customFormat="1" ht="14.25" customHeight="1">
      <c r="A115" s="86" t="s">
        <v>2627</v>
      </c>
      <c r="B115" s="360" t="s">
        <v>311</v>
      </c>
      <c r="C115" s="361" t="s">
        <v>2698</v>
      </c>
      <c r="D115" s="355"/>
      <c r="E115" s="67">
        <v>197065</v>
      </c>
      <c r="J115" s="67" t="s">
        <v>2632</v>
      </c>
      <c r="K115" s="353" t="s">
        <v>2600</v>
      </c>
      <c r="L115" s="353" t="s">
        <v>2600</v>
      </c>
      <c r="N115" s="67">
        <v>20.593980789184599</v>
      </c>
      <c r="O115" s="67">
        <v>93.261528015136705</v>
      </c>
      <c r="R115" s="364"/>
      <c r="S115" s="86"/>
      <c r="T115" s="91">
        <v>43591</v>
      </c>
      <c r="U115" s="364"/>
      <c r="W115" s="356"/>
      <c r="X115" s="457"/>
      <c r="Y115" s="457"/>
      <c r="Z115" s="457"/>
    </row>
    <row r="116" spans="1:26" s="67" customFormat="1" ht="14.25" customHeight="1">
      <c r="A116" s="357" t="s">
        <v>2627</v>
      </c>
      <c r="B116" s="353" t="s">
        <v>311</v>
      </c>
      <c r="C116" s="353" t="s">
        <v>2584</v>
      </c>
      <c r="D116" s="402"/>
      <c r="E116" s="67">
        <v>197041</v>
      </c>
      <c r="J116" s="67" t="s">
        <v>793</v>
      </c>
      <c r="K116" s="67" t="s">
        <v>793</v>
      </c>
      <c r="L116" s="67" t="s">
        <v>793</v>
      </c>
      <c r="R116" s="85"/>
      <c r="S116" s="86"/>
      <c r="T116" s="91"/>
      <c r="U116" s="87"/>
      <c r="W116" s="353"/>
      <c r="X116" s="457"/>
      <c r="Y116" s="457"/>
      <c r="Z116" s="457"/>
    </row>
    <row r="117" spans="1:26" s="67" customFormat="1" ht="14.25" customHeight="1">
      <c r="A117" s="360" t="s">
        <v>2627</v>
      </c>
      <c r="B117" s="360" t="s">
        <v>311</v>
      </c>
      <c r="C117" s="361" t="s">
        <v>2722</v>
      </c>
      <c r="D117" s="355"/>
      <c r="J117" s="67" t="s">
        <v>2632</v>
      </c>
      <c r="K117" s="67" t="s">
        <v>2600</v>
      </c>
      <c r="L117" s="67" t="s">
        <v>2600</v>
      </c>
      <c r="R117" s="364"/>
      <c r="S117" s="357"/>
      <c r="T117" s="91">
        <v>43591</v>
      </c>
      <c r="U117" s="364"/>
      <c r="W117" s="356"/>
      <c r="X117" s="457"/>
      <c r="Y117" s="457"/>
      <c r="Z117" s="457"/>
    </row>
    <row r="118" spans="1:26" s="67" customFormat="1" ht="14.25" customHeight="1">
      <c r="A118" s="357" t="s">
        <v>2627</v>
      </c>
      <c r="B118" s="353" t="s">
        <v>311</v>
      </c>
      <c r="C118" s="353" t="s">
        <v>2595</v>
      </c>
      <c r="D118" s="402"/>
      <c r="E118" s="67">
        <v>197103</v>
      </c>
      <c r="J118" s="67" t="s">
        <v>793</v>
      </c>
      <c r="K118" s="67" t="s">
        <v>793</v>
      </c>
      <c r="L118" s="67" t="s">
        <v>793</v>
      </c>
      <c r="P118" s="353"/>
      <c r="R118" s="356"/>
      <c r="S118" s="357"/>
      <c r="T118" s="91"/>
      <c r="U118" s="87"/>
      <c r="W118" s="353"/>
      <c r="X118" s="457"/>
      <c r="Y118" s="457"/>
      <c r="Z118" s="457"/>
    </row>
    <row r="119" spans="1:26" s="67" customFormat="1" ht="14.25" customHeight="1">
      <c r="A119" s="357" t="s">
        <v>2627</v>
      </c>
      <c r="B119" s="353" t="s">
        <v>311</v>
      </c>
      <c r="C119" s="353" t="s">
        <v>2578</v>
      </c>
      <c r="D119" s="402"/>
      <c r="E119" s="67">
        <v>197028</v>
      </c>
      <c r="J119" s="67" t="s">
        <v>793</v>
      </c>
      <c r="K119" s="353" t="s">
        <v>793</v>
      </c>
      <c r="L119" s="353" t="s">
        <v>793</v>
      </c>
      <c r="P119" s="353"/>
      <c r="R119" s="85"/>
      <c r="S119" s="357"/>
      <c r="T119" s="91"/>
      <c r="U119" s="87"/>
      <c r="X119" s="457"/>
      <c r="Y119" s="457"/>
      <c r="Z119" s="457"/>
    </row>
    <row r="120" spans="1:26" s="67" customFormat="1" ht="14.25" customHeight="1">
      <c r="A120" s="357" t="s">
        <v>2627</v>
      </c>
      <c r="B120" s="353" t="s">
        <v>311</v>
      </c>
      <c r="C120" s="353" t="s">
        <v>2577</v>
      </c>
      <c r="D120" s="402"/>
      <c r="E120" s="67">
        <v>197027</v>
      </c>
      <c r="J120" s="67" t="s">
        <v>793</v>
      </c>
      <c r="K120" s="353" t="s">
        <v>793</v>
      </c>
      <c r="L120" s="353" t="s">
        <v>793</v>
      </c>
      <c r="R120" s="85"/>
      <c r="S120" s="86"/>
      <c r="T120" s="91"/>
      <c r="U120" s="87"/>
      <c r="X120" s="457"/>
      <c r="Y120" s="457"/>
      <c r="Z120" s="457"/>
    </row>
    <row r="121" spans="1:26" s="67" customFormat="1" ht="14.25" customHeight="1">
      <c r="A121" s="357" t="s">
        <v>2627</v>
      </c>
      <c r="B121" s="353" t="s">
        <v>311</v>
      </c>
      <c r="C121" s="353" t="s">
        <v>881</v>
      </c>
      <c r="D121" s="402" t="s">
        <v>2689</v>
      </c>
      <c r="E121" s="352" t="s">
        <v>1364</v>
      </c>
      <c r="F121" s="67" t="s">
        <v>1725</v>
      </c>
      <c r="G121" s="67" t="s">
        <v>1725</v>
      </c>
      <c r="J121" s="67" t="s">
        <v>793</v>
      </c>
      <c r="K121" s="67" t="s">
        <v>793</v>
      </c>
      <c r="L121" s="67" t="s">
        <v>878</v>
      </c>
      <c r="M121" s="67" t="s">
        <v>790</v>
      </c>
      <c r="N121" s="367">
        <v>20.377523</v>
      </c>
      <c r="O121" s="369">
        <v>93.271642</v>
      </c>
      <c r="P121" s="67" t="s">
        <v>794</v>
      </c>
      <c r="R121" s="85"/>
      <c r="S121" s="357"/>
      <c r="T121" s="91"/>
      <c r="U121" s="87" t="s">
        <v>855</v>
      </c>
      <c r="V121" s="67" t="s">
        <v>881</v>
      </c>
      <c r="X121" s="457"/>
      <c r="Y121" s="457"/>
      <c r="Z121" s="457"/>
    </row>
    <row r="122" spans="1:26" s="67" customFormat="1" ht="14.25" customHeight="1">
      <c r="A122" s="357" t="s">
        <v>2627</v>
      </c>
      <c r="B122" s="353" t="s">
        <v>311</v>
      </c>
      <c r="C122" s="353" t="s">
        <v>657</v>
      </c>
      <c r="D122" s="402"/>
      <c r="E122" s="67">
        <v>197110</v>
      </c>
      <c r="F122" s="67" t="s">
        <v>2669</v>
      </c>
      <c r="J122" s="67" t="s">
        <v>793</v>
      </c>
      <c r="K122" s="67" t="s">
        <v>793</v>
      </c>
      <c r="L122" s="67" t="s">
        <v>793</v>
      </c>
      <c r="R122" s="85"/>
      <c r="S122" s="357"/>
      <c r="T122" s="91"/>
      <c r="U122" s="87"/>
      <c r="X122" s="457"/>
      <c r="Y122" s="457"/>
      <c r="Z122" s="457"/>
    </row>
    <row r="123" spans="1:26" s="67" customFormat="1" ht="14.25" customHeight="1">
      <c r="A123" s="360" t="s">
        <v>2627</v>
      </c>
      <c r="B123" s="360" t="s">
        <v>311</v>
      </c>
      <c r="C123" s="361" t="s">
        <v>2702</v>
      </c>
      <c r="D123" s="355"/>
      <c r="E123" s="67">
        <v>197051</v>
      </c>
      <c r="J123" s="67" t="s">
        <v>2632</v>
      </c>
      <c r="K123" s="67" t="s">
        <v>2600</v>
      </c>
      <c r="L123" s="67" t="s">
        <v>2600</v>
      </c>
      <c r="N123" s="353">
        <v>20.599809646606399</v>
      </c>
      <c r="O123" s="353">
        <v>93.265541076660199</v>
      </c>
      <c r="R123" s="364"/>
      <c r="S123" s="357"/>
      <c r="T123" s="91">
        <v>43591</v>
      </c>
      <c r="U123" s="364"/>
      <c r="W123" s="356"/>
      <c r="X123" s="457"/>
      <c r="Y123" s="457"/>
      <c r="Z123" s="457"/>
    </row>
    <row r="124" spans="1:26" s="67" customFormat="1" ht="14.25" customHeight="1">
      <c r="A124" s="357" t="s">
        <v>2627</v>
      </c>
      <c r="B124" s="354" t="s">
        <v>311</v>
      </c>
      <c r="C124" s="354" t="s">
        <v>875</v>
      </c>
      <c r="D124" s="402"/>
      <c r="E124" s="67">
        <v>197149</v>
      </c>
      <c r="F124" s="67" t="s">
        <v>875</v>
      </c>
      <c r="J124" s="67" t="s">
        <v>793</v>
      </c>
      <c r="K124" s="67" t="s">
        <v>793</v>
      </c>
      <c r="L124" s="67" t="s">
        <v>793</v>
      </c>
      <c r="R124" s="356"/>
      <c r="S124" s="357"/>
      <c r="T124" s="91"/>
      <c r="U124" s="87"/>
      <c r="W124" s="353"/>
      <c r="X124" s="457"/>
      <c r="Y124" s="457"/>
      <c r="Z124" s="457"/>
    </row>
    <row r="125" spans="1:26" s="67" customFormat="1" ht="14.25" customHeight="1">
      <c r="A125" s="357" t="s">
        <v>2627</v>
      </c>
      <c r="B125" s="354" t="s">
        <v>311</v>
      </c>
      <c r="C125" s="354" t="s">
        <v>890</v>
      </c>
      <c r="D125" s="402" t="s">
        <v>2689</v>
      </c>
      <c r="E125" s="353" t="s">
        <v>1368</v>
      </c>
      <c r="F125" s="353" t="s">
        <v>1831</v>
      </c>
      <c r="G125" s="353" t="s">
        <v>1832</v>
      </c>
      <c r="H125" s="353"/>
      <c r="I125" s="353"/>
      <c r="J125" s="67" t="s">
        <v>793</v>
      </c>
      <c r="K125" s="67" t="s">
        <v>793</v>
      </c>
      <c r="L125" s="67" t="s">
        <v>878</v>
      </c>
      <c r="M125" s="353" t="s">
        <v>790</v>
      </c>
      <c r="N125" s="353">
        <v>20.407971</v>
      </c>
      <c r="O125" s="353">
        <v>93.313627999999994</v>
      </c>
      <c r="P125" s="67" t="s">
        <v>794</v>
      </c>
      <c r="Q125" s="353"/>
      <c r="R125" s="356"/>
      <c r="S125" s="357"/>
      <c r="T125" s="376"/>
      <c r="U125" s="358" t="s">
        <v>855</v>
      </c>
      <c r="V125" s="353" t="s">
        <v>890</v>
      </c>
      <c r="W125" s="353"/>
      <c r="X125" s="457"/>
      <c r="Y125" s="457"/>
      <c r="Z125" s="457"/>
    </row>
    <row r="126" spans="1:26" s="67" customFormat="1" ht="14.25" customHeight="1">
      <c r="A126" s="357" t="s">
        <v>2627</v>
      </c>
      <c r="B126" s="354" t="s">
        <v>311</v>
      </c>
      <c r="C126" s="354" t="s">
        <v>464</v>
      </c>
      <c r="D126" s="402" t="s">
        <v>2689</v>
      </c>
      <c r="E126" s="353" t="s">
        <v>1366</v>
      </c>
      <c r="F126" s="353" t="s">
        <v>461</v>
      </c>
      <c r="G126" s="353" t="s">
        <v>464</v>
      </c>
      <c r="H126" s="353"/>
      <c r="I126" s="353"/>
      <c r="J126" s="353" t="s">
        <v>793</v>
      </c>
      <c r="K126" s="353" t="s">
        <v>793</v>
      </c>
      <c r="L126" s="353" t="s">
        <v>878</v>
      </c>
      <c r="M126" s="353" t="s">
        <v>790</v>
      </c>
      <c r="N126" s="353">
        <v>20.39902</v>
      </c>
      <c r="O126" s="353">
        <v>93.249669999999995</v>
      </c>
      <c r="P126" s="353" t="s">
        <v>794</v>
      </c>
      <c r="Q126" s="353" t="s">
        <v>775</v>
      </c>
      <c r="R126" s="356"/>
      <c r="S126" s="357"/>
      <c r="T126" s="376"/>
      <c r="U126" s="358"/>
      <c r="V126" s="353" t="s">
        <v>889</v>
      </c>
      <c r="W126" s="353"/>
      <c r="X126" s="457"/>
      <c r="Y126" s="457"/>
      <c r="Z126" s="457"/>
    </row>
    <row r="127" spans="1:26" s="67" customFormat="1" ht="14.25" customHeight="1">
      <c r="A127" s="357" t="s">
        <v>2627</v>
      </c>
      <c r="B127" s="354" t="s">
        <v>311</v>
      </c>
      <c r="C127" s="354" t="s">
        <v>2583</v>
      </c>
      <c r="D127" s="402"/>
      <c r="E127" s="67">
        <v>197039</v>
      </c>
      <c r="J127" s="67" t="s">
        <v>793</v>
      </c>
      <c r="K127" s="67" t="s">
        <v>793</v>
      </c>
      <c r="L127" s="67" t="s">
        <v>793</v>
      </c>
      <c r="R127" s="85"/>
      <c r="S127" s="86"/>
      <c r="T127" s="91"/>
      <c r="U127" s="87"/>
      <c r="X127" s="457"/>
      <c r="Y127" s="457"/>
      <c r="Z127" s="457"/>
    </row>
    <row r="128" spans="1:26" s="67" customFormat="1" ht="14.25" customHeight="1">
      <c r="A128" s="357" t="s">
        <v>2627</v>
      </c>
      <c r="B128" s="354" t="s">
        <v>311</v>
      </c>
      <c r="C128" s="354" t="s">
        <v>1834</v>
      </c>
      <c r="D128" s="402"/>
      <c r="E128" s="67">
        <v>197023</v>
      </c>
      <c r="J128" s="67" t="s">
        <v>793</v>
      </c>
      <c r="K128" s="67" t="s">
        <v>793</v>
      </c>
      <c r="L128" s="67" t="s">
        <v>793</v>
      </c>
      <c r="R128" s="85"/>
      <c r="S128" s="357"/>
      <c r="T128" s="91"/>
      <c r="U128" s="87"/>
      <c r="X128" s="457"/>
      <c r="Y128" s="457"/>
      <c r="Z128" s="457"/>
    </row>
    <row r="129" spans="1:26" s="67" customFormat="1" ht="14.25" customHeight="1">
      <c r="A129" s="357" t="s">
        <v>2627</v>
      </c>
      <c r="B129" s="354" t="s">
        <v>311</v>
      </c>
      <c r="C129" s="354" t="s">
        <v>2575</v>
      </c>
      <c r="D129" s="402"/>
      <c r="E129" s="67">
        <v>197022</v>
      </c>
      <c r="J129" s="67" t="s">
        <v>793</v>
      </c>
      <c r="K129" s="67" t="s">
        <v>793</v>
      </c>
      <c r="L129" s="67" t="s">
        <v>793</v>
      </c>
      <c r="O129" s="353"/>
      <c r="R129" s="356"/>
      <c r="S129" s="357"/>
      <c r="T129" s="91"/>
      <c r="U129" s="87"/>
      <c r="W129" s="353"/>
      <c r="X129" s="457"/>
      <c r="Y129" s="457"/>
      <c r="Z129" s="457"/>
    </row>
    <row r="130" spans="1:26" s="67" customFormat="1" ht="14.25" customHeight="1">
      <c r="A130" s="357" t="s">
        <v>2627</v>
      </c>
      <c r="B130" s="354" t="s">
        <v>311</v>
      </c>
      <c r="C130" s="354" t="s">
        <v>2596</v>
      </c>
      <c r="D130" s="402"/>
      <c r="E130" s="67">
        <v>197114</v>
      </c>
      <c r="F130" s="67" t="s">
        <v>2669</v>
      </c>
      <c r="J130" s="67" t="s">
        <v>793</v>
      </c>
      <c r="K130" s="353" t="s">
        <v>793</v>
      </c>
      <c r="L130" s="353" t="s">
        <v>793</v>
      </c>
      <c r="R130" s="356"/>
      <c r="S130" s="86"/>
      <c r="T130" s="91"/>
      <c r="U130" s="87"/>
      <c r="X130" s="457"/>
      <c r="Y130" s="457"/>
      <c r="Z130" s="457"/>
    </row>
    <row r="131" spans="1:26" s="67" customFormat="1" ht="14.25" customHeight="1">
      <c r="A131" s="357" t="s">
        <v>2627</v>
      </c>
      <c r="B131" s="354" t="s">
        <v>311</v>
      </c>
      <c r="C131" s="354" t="s">
        <v>891</v>
      </c>
      <c r="D131" s="402" t="s">
        <v>2689</v>
      </c>
      <c r="E131" s="67" t="s">
        <v>1370</v>
      </c>
      <c r="F131" s="67" t="s">
        <v>1833</v>
      </c>
      <c r="G131" s="67" t="s">
        <v>1834</v>
      </c>
      <c r="J131" s="67" t="s">
        <v>793</v>
      </c>
      <c r="K131" s="67" t="s">
        <v>793</v>
      </c>
      <c r="L131" s="67" t="s">
        <v>878</v>
      </c>
      <c r="M131" s="67" t="s">
        <v>293</v>
      </c>
      <c r="N131" s="67">
        <v>20.409645000000001</v>
      </c>
      <c r="O131" s="67">
        <v>93.314695</v>
      </c>
      <c r="P131" s="67" t="s">
        <v>794</v>
      </c>
      <c r="R131" s="356"/>
      <c r="S131" s="357"/>
      <c r="T131" s="91"/>
      <c r="U131" s="87" t="s">
        <v>855</v>
      </c>
      <c r="V131" s="67" t="s">
        <v>891</v>
      </c>
      <c r="X131" s="457"/>
      <c r="Y131" s="457"/>
      <c r="Z131" s="457"/>
    </row>
    <row r="132" spans="1:26" s="67" customFormat="1" ht="14.25" customHeight="1">
      <c r="A132" s="357" t="s">
        <v>2627</v>
      </c>
      <c r="B132" s="353" t="s">
        <v>311</v>
      </c>
      <c r="C132" s="354" t="s">
        <v>489</v>
      </c>
      <c r="D132" s="402" t="s">
        <v>1635</v>
      </c>
      <c r="E132" s="67">
        <v>197067</v>
      </c>
      <c r="J132" s="67" t="s">
        <v>793</v>
      </c>
      <c r="K132" s="67" t="s">
        <v>793</v>
      </c>
      <c r="L132" s="67" t="s">
        <v>793</v>
      </c>
      <c r="M132" s="67" t="s">
        <v>293</v>
      </c>
      <c r="N132" s="67">
        <v>20.51997948</v>
      </c>
      <c r="O132" s="67">
        <v>93.277252200000007</v>
      </c>
      <c r="P132" s="67" t="s">
        <v>794</v>
      </c>
      <c r="Q132" s="67" t="s">
        <v>775</v>
      </c>
      <c r="R132" s="356"/>
      <c r="S132" s="357"/>
      <c r="T132" s="91"/>
      <c r="U132" s="87"/>
      <c r="W132" s="353"/>
      <c r="X132" s="457"/>
      <c r="Y132" s="457"/>
      <c r="Z132" s="457"/>
    </row>
    <row r="133" spans="1:26" s="67" customFormat="1" ht="14.25" customHeight="1">
      <c r="A133" s="357" t="s">
        <v>2627</v>
      </c>
      <c r="B133" s="354" t="s">
        <v>311</v>
      </c>
      <c r="C133" s="354" t="s">
        <v>1132</v>
      </c>
      <c r="D133" s="402" t="s">
        <v>1635</v>
      </c>
      <c r="E133" s="67">
        <v>196999</v>
      </c>
      <c r="J133" s="67" t="s">
        <v>793</v>
      </c>
      <c r="K133" s="67" t="s">
        <v>793</v>
      </c>
      <c r="L133" s="67" t="s">
        <v>793</v>
      </c>
      <c r="M133" s="67" t="s">
        <v>790</v>
      </c>
      <c r="P133" s="67" t="s">
        <v>794</v>
      </c>
      <c r="R133" s="85"/>
      <c r="S133" s="357"/>
      <c r="T133" s="91"/>
      <c r="U133" s="87"/>
      <c r="X133" s="457"/>
      <c r="Y133" s="457"/>
      <c r="Z133" s="457"/>
    </row>
    <row r="134" spans="1:26" s="67" customFormat="1" ht="14.25" customHeight="1">
      <c r="A134" s="357" t="s">
        <v>2627</v>
      </c>
      <c r="B134" s="354" t="s">
        <v>311</v>
      </c>
      <c r="C134" s="354" t="s">
        <v>462</v>
      </c>
      <c r="D134" s="402"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7"/>
      <c r="Y134" s="457"/>
      <c r="Z134" s="457"/>
    </row>
    <row r="135" spans="1:26" s="67" customFormat="1" ht="14.25" customHeight="1">
      <c r="A135" s="357" t="s">
        <v>2627</v>
      </c>
      <c r="B135" s="354" t="s">
        <v>311</v>
      </c>
      <c r="C135" s="354" t="s">
        <v>2599</v>
      </c>
      <c r="D135" s="402"/>
      <c r="E135" s="67">
        <v>220653</v>
      </c>
      <c r="J135" s="67" t="s">
        <v>793</v>
      </c>
      <c r="K135" s="67" t="s">
        <v>793</v>
      </c>
      <c r="L135" s="67" t="s">
        <v>793</v>
      </c>
      <c r="R135" s="85"/>
      <c r="S135" s="86"/>
      <c r="T135" s="91"/>
      <c r="U135" s="87"/>
      <c r="X135" s="457"/>
      <c r="Y135" s="457"/>
      <c r="Z135" s="457"/>
    </row>
    <row r="136" spans="1:26" s="67" customFormat="1" ht="14.25" customHeight="1">
      <c r="A136" s="357" t="s">
        <v>2627</v>
      </c>
      <c r="B136" s="354" t="s">
        <v>311</v>
      </c>
      <c r="C136" s="354" t="s">
        <v>2590</v>
      </c>
      <c r="D136" s="402"/>
      <c r="E136" s="67">
        <v>197092</v>
      </c>
      <c r="J136" s="67" t="s">
        <v>793</v>
      </c>
      <c r="K136" s="67" t="s">
        <v>793</v>
      </c>
      <c r="L136" s="67" t="s">
        <v>793</v>
      </c>
      <c r="R136" s="356"/>
      <c r="S136" s="86"/>
      <c r="T136" s="91"/>
      <c r="U136" s="87"/>
      <c r="W136" s="353"/>
      <c r="X136" s="457"/>
      <c r="Y136" s="457"/>
      <c r="Z136" s="457"/>
    </row>
    <row r="137" spans="1:26" s="67" customFormat="1" ht="14.25" customHeight="1">
      <c r="A137" s="357" t="s">
        <v>2627</v>
      </c>
      <c r="B137" s="354" t="s">
        <v>311</v>
      </c>
      <c r="C137" s="354" t="s">
        <v>2591</v>
      </c>
      <c r="D137" s="402"/>
      <c r="E137" s="67">
        <v>197100</v>
      </c>
      <c r="F137" s="353" t="s">
        <v>2670</v>
      </c>
      <c r="J137" s="67" t="s">
        <v>793</v>
      </c>
      <c r="K137" s="67" t="s">
        <v>793</v>
      </c>
      <c r="L137" s="67" t="s">
        <v>793</v>
      </c>
      <c r="Q137" s="353"/>
      <c r="R137" s="356"/>
      <c r="S137" s="357"/>
      <c r="T137" s="376"/>
      <c r="U137" s="87"/>
      <c r="W137" s="353"/>
      <c r="X137" s="457"/>
      <c r="Y137" s="457"/>
      <c r="Z137" s="457"/>
    </row>
    <row r="138" spans="1:26" s="67" customFormat="1" ht="14.25" customHeight="1">
      <c r="A138" s="357" t="s">
        <v>2627</v>
      </c>
      <c r="B138" s="354" t="s">
        <v>311</v>
      </c>
      <c r="C138" s="354" t="s">
        <v>2582</v>
      </c>
      <c r="D138" s="402"/>
      <c r="E138" s="67">
        <v>197040</v>
      </c>
      <c r="J138" s="67" t="s">
        <v>793</v>
      </c>
      <c r="K138" s="67" t="s">
        <v>793</v>
      </c>
      <c r="L138" s="67" t="s">
        <v>793</v>
      </c>
      <c r="R138" s="356"/>
      <c r="S138" s="357"/>
      <c r="T138" s="91"/>
      <c r="U138" s="87"/>
      <c r="W138" s="353"/>
      <c r="X138" s="457"/>
      <c r="Y138" s="457"/>
      <c r="Z138" s="457"/>
    </row>
    <row r="139" spans="1:26" s="67" customFormat="1" ht="14.25" customHeight="1">
      <c r="A139" s="357" t="s">
        <v>2627</v>
      </c>
      <c r="B139" s="354" t="s">
        <v>311</v>
      </c>
      <c r="C139" s="354" t="s">
        <v>2598</v>
      </c>
      <c r="D139" s="402"/>
      <c r="E139" s="67">
        <v>197112</v>
      </c>
      <c r="J139" s="67" t="s">
        <v>793</v>
      </c>
      <c r="K139" s="67" t="s">
        <v>793</v>
      </c>
      <c r="L139" s="353" t="s">
        <v>793</v>
      </c>
      <c r="R139" s="356"/>
      <c r="S139" s="86"/>
      <c r="T139" s="91"/>
      <c r="U139" s="87"/>
      <c r="W139" s="353"/>
      <c r="X139" s="457"/>
      <c r="Y139" s="457"/>
      <c r="Z139" s="457"/>
    </row>
    <row r="140" spans="1:26" s="67" customFormat="1" ht="14.25" customHeight="1">
      <c r="A140" s="357" t="s">
        <v>2627</v>
      </c>
      <c r="B140" s="354" t="s">
        <v>311</v>
      </c>
      <c r="C140" s="70" t="s">
        <v>2589</v>
      </c>
      <c r="D140" s="402"/>
      <c r="E140" s="353"/>
      <c r="F140" s="353"/>
      <c r="G140" s="353"/>
      <c r="H140" s="353"/>
      <c r="I140" s="353"/>
      <c r="J140" s="67" t="s">
        <v>793</v>
      </c>
      <c r="K140" s="353" t="s">
        <v>793</v>
      </c>
      <c r="L140" s="353" t="s">
        <v>793</v>
      </c>
      <c r="M140" s="353"/>
      <c r="N140" s="353"/>
      <c r="O140" s="353"/>
      <c r="Q140" s="353"/>
      <c r="R140" s="356"/>
      <c r="S140" s="357"/>
      <c r="T140" s="376"/>
      <c r="U140" s="358"/>
      <c r="V140" s="353"/>
      <c r="W140" s="353"/>
      <c r="X140" s="457"/>
      <c r="Y140" s="457"/>
      <c r="Z140" s="457"/>
    </row>
    <row r="141" spans="1:26" s="67" customFormat="1" ht="14.25" customHeight="1">
      <c r="A141" s="357" t="s">
        <v>2627</v>
      </c>
      <c r="B141" s="354" t="s">
        <v>311</v>
      </c>
      <c r="C141" s="354" t="s">
        <v>459</v>
      </c>
      <c r="D141" s="402" t="s">
        <v>2689</v>
      </c>
      <c r="E141" s="67" t="s">
        <v>1365</v>
      </c>
      <c r="F141" s="353" t="s">
        <v>1725</v>
      </c>
      <c r="G141" s="67" t="s">
        <v>1726</v>
      </c>
      <c r="J141" s="67" t="s">
        <v>793</v>
      </c>
      <c r="K141" s="353" t="s">
        <v>793</v>
      </c>
      <c r="L141" s="353" t="s">
        <v>878</v>
      </c>
      <c r="M141" s="67" t="s">
        <v>790</v>
      </c>
      <c r="N141" s="67">
        <v>20.392137999999999</v>
      </c>
      <c r="O141" s="67">
        <v>93.257272</v>
      </c>
      <c r="P141" s="67" t="s">
        <v>794</v>
      </c>
      <c r="Q141" s="67" t="s">
        <v>775</v>
      </c>
      <c r="R141" s="356"/>
      <c r="S141" s="357"/>
      <c r="T141" s="91"/>
      <c r="U141" s="87"/>
      <c r="V141" s="67" t="s">
        <v>883</v>
      </c>
      <c r="W141" s="353"/>
      <c r="X141" s="457"/>
      <c r="Y141" s="457"/>
      <c r="Z141" s="457"/>
    </row>
    <row r="142" spans="1:26" s="67" customFormat="1" ht="14.25" customHeight="1">
      <c r="A142" s="357" t="s">
        <v>2627</v>
      </c>
      <c r="B142" s="354" t="s">
        <v>311</v>
      </c>
      <c r="C142" s="354" t="s">
        <v>504</v>
      </c>
      <c r="D142" s="402" t="s">
        <v>2689</v>
      </c>
      <c r="E142" s="67" t="s">
        <v>1377</v>
      </c>
      <c r="F142" s="67" t="s">
        <v>1727</v>
      </c>
      <c r="G142" s="67" t="s">
        <v>1727</v>
      </c>
      <c r="J142" s="67" t="s">
        <v>793</v>
      </c>
      <c r="K142" s="67" t="s">
        <v>793</v>
      </c>
      <c r="L142" s="67" t="s">
        <v>878</v>
      </c>
      <c r="M142" s="67" t="s">
        <v>790</v>
      </c>
      <c r="N142" s="353">
        <v>20.587142</v>
      </c>
      <c r="O142" s="353">
        <v>93.258573999999996</v>
      </c>
      <c r="P142" s="67" t="s">
        <v>794</v>
      </c>
      <c r="R142" s="356"/>
      <c r="S142" s="357"/>
      <c r="T142" s="91"/>
      <c r="U142" s="87" t="s">
        <v>855</v>
      </c>
      <c r="V142" s="67" t="s">
        <v>504</v>
      </c>
      <c r="X142" s="457"/>
      <c r="Y142" s="457"/>
      <c r="Z142" s="457"/>
    </row>
    <row r="143" spans="1:26" s="67" customFormat="1" ht="14.25" customHeight="1">
      <c r="A143" s="357" t="s">
        <v>2627</v>
      </c>
      <c r="B143" s="354" t="s">
        <v>311</v>
      </c>
      <c r="C143" s="354" t="s">
        <v>2581</v>
      </c>
      <c r="D143" s="402"/>
      <c r="E143" s="353">
        <v>197033</v>
      </c>
      <c r="F143" s="353"/>
      <c r="G143" s="353"/>
      <c r="H143" s="353"/>
      <c r="I143" s="353"/>
      <c r="J143" s="67" t="s">
        <v>793</v>
      </c>
      <c r="K143" s="67" t="s">
        <v>793</v>
      </c>
      <c r="L143" s="67" t="s">
        <v>793</v>
      </c>
      <c r="M143" s="353"/>
      <c r="N143" s="353"/>
      <c r="O143" s="353"/>
      <c r="Q143" s="353"/>
      <c r="R143" s="356"/>
      <c r="S143" s="357"/>
      <c r="T143" s="376"/>
      <c r="U143" s="358"/>
      <c r="V143" s="353"/>
      <c r="W143" s="353"/>
      <c r="X143" s="457"/>
      <c r="Y143" s="457"/>
      <c r="Z143" s="457"/>
    </row>
    <row r="144" spans="1:26" s="67" customFormat="1" ht="14.25" customHeight="1">
      <c r="A144" s="357" t="s">
        <v>2627</v>
      </c>
      <c r="B144" s="354" t="s">
        <v>311</v>
      </c>
      <c r="C144" s="354" t="s">
        <v>1726</v>
      </c>
      <c r="D144" s="402"/>
      <c r="E144" s="67">
        <v>196997</v>
      </c>
      <c r="F144" s="353"/>
      <c r="J144" s="67" t="s">
        <v>793</v>
      </c>
      <c r="K144" s="67" t="s">
        <v>793</v>
      </c>
      <c r="L144" s="67" t="s">
        <v>793</v>
      </c>
      <c r="R144" s="356"/>
      <c r="S144" s="357"/>
      <c r="T144" s="91"/>
      <c r="U144" s="87"/>
      <c r="W144" s="353"/>
      <c r="X144" s="457"/>
      <c r="Y144" s="457"/>
      <c r="Z144" s="457"/>
    </row>
    <row r="145" spans="1:26" s="67" customFormat="1" ht="14.25" customHeight="1">
      <c r="A145" s="357" t="s">
        <v>2627</v>
      </c>
      <c r="B145" s="354" t="s">
        <v>311</v>
      </c>
      <c r="C145" s="354" t="s">
        <v>2580</v>
      </c>
      <c r="D145" s="402"/>
      <c r="E145" s="67">
        <v>197036</v>
      </c>
      <c r="J145" s="67" t="s">
        <v>793</v>
      </c>
      <c r="K145" s="67" t="s">
        <v>793</v>
      </c>
      <c r="L145" s="67" t="s">
        <v>793</v>
      </c>
      <c r="R145" s="85"/>
      <c r="S145" s="357"/>
      <c r="T145" s="91"/>
      <c r="U145" s="87"/>
      <c r="X145" s="457"/>
      <c r="Y145" s="457"/>
      <c r="Z145" s="457"/>
    </row>
    <row r="146" spans="1:26" s="67" customFormat="1" ht="14.25" customHeight="1">
      <c r="A146" s="357" t="s">
        <v>2627</v>
      </c>
      <c r="B146" s="354" t="s">
        <v>311</v>
      </c>
      <c r="C146" s="354" t="s">
        <v>2587</v>
      </c>
      <c r="D146" s="402"/>
      <c r="E146" s="67">
        <v>197089</v>
      </c>
      <c r="J146" s="67" t="s">
        <v>793</v>
      </c>
      <c r="K146" s="67" t="s">
        <v>793</v>
      </c>
      <c r="L146" s="67" t="s">
        <v>793</v>
      </c>
      <c r="R146" s="85"/>
      <c r="S146" s="357"/>
      <c r="T146" s="91"/>
      <c r="U146" s="87"/>
      <c r="W146" s="353"/>
      <c r="X146" s="457"/>
      <c r="Y146" s="457"/>
      <c r="Z146" s="457"/>
    </row>
    <row r="147" spans="1:26" s="67" customFormat="1" ht="14.25" customHeight="1">
      <c r="A147" s="357" t="s">
        <v>2627</v>
      </c>
      <c r="B147" s="354" t="s">
        <v>311</v>
      </c>
      <c r="C147" s="354" t="s">
        <v>2593</v>
      </c>
      <c r="D147" s="402"/>
      <c r="E147" s="67">
        <v>197102</v>
      </c>
      <c r="F147" s="353" t="s">
        <v>2671</v>
      </c>
      <c r="J147" s="67" t="s">
        <v>793</v>
      </c>
      <c r="K147" s="67" t="s">
        <v>793</v>
      </c>
      <c r="L147" s="67" t="s">
        <v>793</v>
      </c>
      <c r="R147" s="85"/>
      <c r="S147" s="357"/>
      <c r="T147" s="91"/>
      <c r="U147" s="87"/>
      <c r="X147" s="457"/>
      <c r="Y147" s="457"/>
      <c r="Z147" s="457"/>
    </row>
    <row r="148" spans="1:26" s="67" customFormat="1" ht="14.25" customHeight="1">
      <c r="A148" s="360" t="s">
        <v>2627</v>
      </c>
      <c r="B148" s="360" t="s">
        <v>311</v>
      </c>
      <c r="C148" s="361" t="s">
        <v>2704</v>
      </c>
      <c r="D148" s="355"/>
      <c r="E148" s="67">
        <v>197047</v>
      </c>
      <c r="J148" s="67" t="s">
        <v>2632</v>
      </c>
      <c r="K148" s="67" t="s">
        <v>2600</v>
      </c>
      <c r="L148" s="67" t="s">
        <v>2600</v>
      </c>
      <c r="N148" s="67">
        <v>20.454280853271499</v>
      </c>
      <c r="O148" s="67">
        <v>93.281562805175795</v>
      </c>
      <c r="R148" s="364"/>
      <c r="S148" s="357"/>
      <c r="T148" s="91">
        <v>43591</v>
      </c>
      <c r="U148" s="364"/>
      <c r="W148" s="356"/>
      <c r="X148" s="457"/>
      <c r="Y148" s="457"/>
      <c r="Z148" s="457"/>
    </row>
    <row r="149" spans="1:26" s="67" customFormat="1" ht="14.25" customHeight="1">
      <c r="A149" s="360" t="s">
        <v>2627</v>
      </c>
      <c r="B149" s="360" t="s">
        <v>311</v>
      </c>
      <c r="C149" s="361" t="s">
        <v>2723</v>
      </c>
      <c r="D149" s="355"/>
      <c r="E149" s="67">
        <v>197051</v>
      </c>
      <c r="J149" s="67" t="s">
        <v>2632</v>
      </c>
      <c r="K149" s="67" t="s">
        <v>2600</v>
      </c>
      <c r="L149" s="67" t="s">
        <v>2600</v>
      </c>
      <c r="N149" s="353">
        <v>20.599809646606399</v>
      </c>
      <c r="O149" s="353">
        <v>93.265541076660199</v>
      </c>
      <c r="R149" s="364"/>
      <c r="S149" s="86"/>
      <c r="T149" s="91">
        <v>43591</v>
      </c>
      <c r="U149" s="364"/>
      <c r="W149" s="356"/>
      <c r="X149" s="457"/>
      <c r="Y149" s="457"/>
      <c r="Z149" s="457"/>
    </row>
    <row r="150" spans="1:26" s="67" customFormat="1" ht="14.25" customHeight="1">
      <c r="A150" s="357" t="s">
        <v>2627</v>
      </c>
      <c r="B150" s="353" t="s">
        <v>470</v>
      </c>
      <c r="C150" s="353" t="s">
        <v>547</v>
      </c>
      <c r="D150" s="402" t="s">
        <v>1635</v>
      </c>
      <c r="E150" s="353">
        <v>196643</v>
      </c>
      <c r="F150" s="353"/>
      <c r="G150" s="353"/>
      <c r="H150" s="353"/>
      <c r="I150" s="353"/>
      <c r="J150" s="353" t="s">
        <v>793</v>
      </c>
      <c r="K150" s="353" t="s">
        <v>793</v>
      </c>
      <c r="L150" s="353" t="s">
        <v>793</v>
      </c>
      <c r="M150" s="353" t="s">
        <v>790</v>
      </c>
      <c r="N150" s="353">
        <v>20.69722939</v>
      </c>
      <c r="O150" s="353">
        <v>93.044059750000002</v>
      </c>
      <c r="P150" s="67" t="s">
        <v>794</v>
      </c>
      <c r="Q150" s="353" t="s">
        <v>775</v>
      </c>
      <c r="R150" s="356"/>
      <c r="S150" s="357"/>
      <c r="T150" s="376"/>
      <c r="U150" s="358"/>
      <c r="V150" s="353" t="s">
        <v>924</v>
      </c>
      <c r="W150" s="353"/>
      <c r="X150" s="457"/>
      <c r="Y150" s="457"/>
      <c r="Z150" s="457"/>
    </row>
    <row r="151" spans="1:26" s="67" customFormat="1" ht="14.25" customHeight="1">
      <c r="A151" s="360" t="s">
        <v>2627</v>
      </c>
      <c r="B151" s="360" t="s">
        <v>470</v>
      </c>
      <c r="C151" s="361" t="s">
        <v>2766</v>
      </c>
      <c r="D151" s="355"/>
      <c r="E151" s="67">
        <v>196610</v>
      </c>
      <c r="F151" s="353"/>
      <c r="J151" s="67" t="s">
        <v>2632</v>
      </c>
      <c r="K151" s="67" t="s">
        <v>2600</v>
      </c>
      <c r="L151" s="67" t="s">
        <v>2600</v>
      </c>
      <c r="N151" s="67">
        <v>20.710781097412099</v>
      </c>
      <c r="O151" s="67">
        <v>93.127502441406307</v>
      </c>
      <c r="R151" s="364"/>
      <c r="S151" s="357"/>
      <c r="T151" s="91">
        <v>43591</v>
      </c>
      <c r="U151" s="364"/>
      <c r="W151" s="356"/>
      <c r="X151" s="457"/>
      <c r="Y151" s="457"/>
      <c r="Z151" s="457"/>
    </row>
    <row r="152" spans="1:26" s="67" customFormat="1" ht="14.25" customHeight="1">
      <c r="A152" s="360" t="s">
        <v>2627</v>
      </c>
      <c r="B152" s="360" t="s">
        <v>470</v>
      </c>
      <c r="C152" s="361" t="s">
        <v>2713</v>
      </c>
      <c r="D152" s="355"/>
      <c r="E152" s="67" t="s">
        <v>2767</v>
      </c>
      <c r="J152" s="67" t="s">
        <v>2632</v>
      </c>
      <c r="K152" s="67" t="s">
        <v>2600</v>
      </c>
      <c r="L152" s="67" t="s">
        <v>2600</v>
      </c>
      <c r="R152" s="364"/>
      <c r="S152" s="357"/>
      <c r="T152" s="91">
        <v>43591</v>
      </c>
      <c r="U152" s="364"/>
      <c r="W152" s="356"/>
      <c r="X152" s="457"/>
      <c r="Y152" s="457"/>
      <c r="Z152" s="457"/>
    </row>
    <row r="153" spans="1:26" s="67" customFormat="1" ht="14.25" customHeight="1">
      <c r="A153" s="360" t="s">
        <v>2627</v>
      </c>
      <c r="B153" s="360" t="s">
        <v>470</v>
      </c>
      <c r="C153" s="361" t="s">
        <v>2714</v>
      </c>
      <c r="D153" s="355"/>
      <c r="E153" s="67" t="s">
        <v>2767</v>
      </c>
      <c r="J153" s="67" t="s">
        <v>2632</v>
      </c>
      <c r="K153" s="67" t="s">
        <v>2600</v>
      </c>
      <c r="L153" s="67" t="s">
        <v>2600</v>
      </c>
      <c r="R153" s="364"/>
      <c r="S153" s="357"/>
      <c r="T153" s="91">
        <v>43591</v>
      </c>
      <c r="U153" s="364"/>
      <c r="W153" s="356"/>
      <c r="X153" s="457"/>
      <c r="Y153" s="457"/>
      <c r="Z153" s="457"/>
    </row>
    <row r="154" spans="1:26" s="67" customFormat="1" ht="14.25" customHeight="1">
      <c r="A154" s="360" t="s">
        <v>2627</v>
      </c>
      <c r="B154" s="360" t="s">
        <v>470</v>
      </c>
      <c r="C154" s="361" t="s">
        <v>2715</v>
      </c>
      <c r="D154" s="355"/>
      <c r="E154" s="353" t="s">
        <v>2767</v>
      </c>
      <c r="F154" s="353"/>
      <c r="J154" s="67" t="s">
        <v>2632</v>
      </c>
      <c r="K154" s="353" t="s">
        <v>2600</v>
      </c>
      <c r="L154" s="353" t="s">
        <v>2600</v>
      </c>
      <c r="R154" s="364"/>
      <c r="S154" s="357"/>
      <c r="T154" s="91">
        <v>43591</v>
      </c>
      <c r="U154" s="364"/>
      <c r="W154" s="356"/>
      <c r="X154" s="457"/>
      <c r="Y154" s="457"/>
      <c r="Z154" s="457"/>
    </row>
    <row r="155" spans="1:26" s="67" customFormat="1" ht="14.25" customHeight="1">
      <c r="A155" s="360" t="s">
        <v>2627</v>
      </c>
      <c r="B155" s="360" t="s">
        <v>470</v>
      </c>
      <c r="C155" s="361" t="s">
        <v>2716</v>
      </c>
      <c r="D155" s="355"/>
      <c r="E155" s="67" t="s">
        <v>2767</v>
      </c>
      <c r="F155" s="353"/>
      <c r="J155" s="67" t="s">
        <v>2632</v>
      </c>
      <c r="K155" s="353" t="s">
        <v>2600</v>
      </c>
      <c r="L155" s="353" t="s">
        <v>2600</v>
      </c>
      <c r="R155" s="364"/>
      <c r="S155" s="357"/>
      <c r="T155" s="91">
        <v>43591</v>
      </c>
      <c r="U155" s="364"/>
      <c r="W155" s="356"/>
      <c r="X155" s="457"/>
      <c r="Y155" s="457"/>
      <c r="Z155" s="457"/>
    </row>
    <row r="156" spans="1:26" s="67" customFormat="1" ht="14.25" customHeight="1">
      <c r="A156" s="360" t="s">
        <v>2627</v>
      </c>
      <c r="B156" s="360" t="s">
        <v>470</v>
      </c>
      <c r="C156" s="361" t="s">
        <v>2717</v>
      </c>
      <c r="D156" s="355"/>
      <c r="E156" s="353" t="s">
        <v>2767</v>
      </c>
      <c r="J156" s="67" t="s">
        <v>2632</v>
      </c>
      <c r="K156" s="67" t="s">
        <v>2600</v>
      </c>
      <c r="L156" s="67" t="s">
        <v>2600</v>
      </c>
      <c r="R156" s="364"/>
      <c r="S156" s="357"/>
      <c r="T156" s="91">
        <v>43591</v>
      </c>
      <c r="U156" s="364"/>
      <c r="W156" s="356"/>
      <c r="X156" s="457"/>
      <c r="Y156" s="457"/>
      <c r="Z156" s="457"/>
    </row>
    <row r="157" spans="1:26" s="67" customFormat="1" ht="14.25" customHeight="1">
      <c r="A157" s="86" t="s">
        <v>2627</v>
      </c>
      <c r="B157" s="353" t="s">
        <v>470</v>
      </c>
      <c r="C157" s="353" t="s">
        <v>482</v>
      </c>
      <c r="D157" s="402" t="s">
        <v>1635</v>
      </c>
      <c r="E157" s="67">
        <v>196508</v>
      </c>
      <c r="F157" s="353"/>
      <c r="J157" s="67" t="s">
        <v>793</v>
      </c>
      <c r="K157" s="353" t="s">
        <v>793</v>
      </c>
      <c r="L157" s="353" t="s">
        <v>793</v>
      </c>
      <c r="M157" s="67" t="s">
        <v>293</v>
      </c>
      <c r="N157" s="67">
        <v>20.489089969999998</v>
      </c>
      <c r="O157" s="67">
        <v>93.211738589999996</v>
      </c>
      <c r="P157" s="67" t="s">
        <v>794</v>
      </c>
      <c r="Q157" s="67" t="s">
        <v>775</v>
      </c>
      <c r="R157" s="356"/>
      <c r="S157" s="357"/>
      <c r="T157" s="91"/>
      <c r="U157" s="87"/>
      <c r="V157" s="67" t="s">
        <v>895</v>
      </c>
      <c r="X157" s="457"/>
      <c r="Y157" s="457"/>
      <c r="Z157" s="457"/>
    </row>
    <row r="158" spans="1:26" s="67" customFormat="1" ht="14.25" customHeight="1">
      <c r="A158" s="357" t="s">
        <v>2627</v>
      </c>
      <c r="B158" s="353" t="s">
        <v>470</v>
      </c>
      <c r="C158" s="353" t="s">
        <v>2552</v>
      </c>
      <c r="D158" s="402"/>
      <c r="F158" s="353"/>
      <c r="J158" s="67" t="s">
        <v>2632</v>
      </c>
      <c r="K158" s="67" t="s">
        <v>2600</v>
      </c>
      <c r="L158" s="67" t="s">
        <v>2600</v>
      </c>
      <c r="R158" s="356"/>
      <c r="S158" s="357"/>
      <c r="T158" s="91"/>
      <c r="U158" s="87"/>
      <c r="X158" s="457"/>
      <c r="Y158" s="457"/>
      <c r="Z158" s="457"/>
    </row>
    <row r="159" spans="1:26" s="67" customFormat="1" ht="14.25" customHeight="1">
      <c r="A159" s="360" t="s">
        <v>2627</v>
      </c>
      <c r="B159" s="360" t="s">
        <v>470</v>
      </c>
      <c r="C159" s="361" t="s">
        <v>550</v>
      </c>
      <c r="D159" s="355"/>
      <c r="J159" s="67" t="s">
        <v>2632</v>
      </c>
      <c r="K159" s="67" t="s">
        <v>2600</v>
      </c>
      <c r="L159" s="67" t="s">
        <v>2600</v>
      </c>
      <c r="R159" s="364"/>
      <c r="S159" s="357"/>
      <c r="T159" s="91">
        <v>43591</v>
      </c>
      <c r="U159" s="364"/>
      <c r="W159" s="356"/>
      <c r="X159" s="457"/>
      <c r="Y159" s="457"/>
      <c r="Z159" s="457"/>
    </row>
    <row r="160" spans="1:26" s="67" customFormat="1" ht="14.25" customHeight="1">
      <c r="A160" s="360" t="s">
        <v>2627</v>
      </c>
      <c r="B160" s="360" t="s">
        <v>470</v>
      </c>
      <c r="C160" s="361" t="s">
        <v>2768</v>
      </c>
      <c r="D160" s="355"/>
      <c r="E160" s="67">
        <v>196475</v>
      </c>
      <c r="J160" s="67" t="s">
        <v>2632</v>
      </c>
      <c r="K160" s="67" t="s">
        <v>2600</v>
      </c>
      <c r="L160" s="67" t="s">
        <v>2600</v>
      </c>
      <c r="R160" s="364"/>
      <c r="S160" s="357"/>
      <c r="T160" s="91">
        <v>43591</v>
      </c>
      <c r="U160" s="364"/>
      <c r="W160" s="356"/>
      <c r="X160" s="457"/>
      <c r="Y160" s="457"/>
      <c r="Z160" s="457"/>
    </row>
    <row r="161" spans="1:26" s="67" customFormat="1" ht="14.25" customHeight="1">
      <c r="A161" s="360" t="s">
        <v>2627</v>
      </c>
      <c r="B161" s="360" t="s">
        <v>470</v>
      </c>
      <c r="C161" s="361" t="s">
        <v>2720</v>
      </c>
      <c r="D161" s="355"/>
      <c r="J161" s="67" t="s">
        <v>2632</v>
      </c>
      <c r="K161" s="67" t="s">
        <v>2600</v>
      </c>
      <c r="L161" s="67" t="s">
        <v>2600</v>
      </c>
      <c r="R161" s="364"/>
      <c r="S161" s="357"/>
      <c r="T161" s="91">
        <v>43591</v>
      </c>
      <c r="U161" s="364"/>
      <c r="W161" s="356"/>
      <c r="X161" s="457"/>
      <c r="Y161" s="457"/>
      <c r="Z161" s="457"/>
    </row>
    <row r="162" spans="1:26" s="67" customFormat="1" ht="14.25" customHeight="1">
      <c r="A162" s="357" t="s">
        <v>2627</v>
      </c>
      <c r="B162" s="353" t="s">
        <v>470</v>
      </c>
      <c r="C162" s="353" t="s">
        <v>2545</v>
      </c>
      <c r="D162" s="402"/>
      <c r="J162" s="67" t="s">
        <v>2632</v>
      </c>
      <c r="K162" s="67" t="s">
        <v>2600</v>
      </c>
      <c r="L162" s="67" t="s">
        <v>2631</v>
      </c>
      <c r="R162" s="356"/>
      <c r="S162" s="357"/>
      <c r="T162" s="91"/>
      <c r="U162" s="87" t="s">
        <v>2541</v>
      </c>
      <c r="X162" s="457"/>
      <c r="Y162" s="457"/>
      <c r="Z162" s="457"/>
    </row>
    <row r="163" spans="1:26" s="67" customFormat="1" ht="14.25" customHeight="1">
      <c r="A163" s="357" t="s">
        <v>2627</v>
      </c>
      <c r="B163" s="353" t="s">
        <v>470</v>
      </c>
      <c r="C163" s="353" t="s">
        <v>473</v>
      </c>
      <c r="D163" s="402" t="s">
        <v>1635</v>
      </c>
      <c r="E163" s="67">
        <v>196496</v>
      </c>
      <c r="J163" s="67" t="s">
        <v>793</v>
      </c>
      <c r="K163" s="67" t="s">
        <v>793</v>
      </c>
      <c r="L163" s="67" t="s">
        <v>793</v>
      </c>
      <c r="M163" s="67" t="s">
        <v>293</v>
      </c>
      <c r="N163" s="67">
        <v>20.46477509</v>
      </c>
      <c r="O163" s="67">
        <v>93.269363400000003</v>
      </c>
      <c r="P163" s="67" t="s">
        <v>794</v>
      </c>
      <c r="Q163" s="67" t="s">
        <v>775</v>
      </c>
      <c r="R163" s="356"/>
      <c r="S163" s="357"/>
      <c r="T163" s="91"/>
      <c r="U163" s="87"/>
      <c r="V163" s="67" t="s">
        <v>473</v>
      </c>
      <c r="X163" s="457"/>
      <c r="Y163" s="457"/>
      <c r="Z163" s="457"/>
    </row>
    <row r="164" spans="1:26" s="67" customFormat="1" ht="14.25" customHeight="1">
      <c r="A164" s="357" t="s">
        <v>2627</v>
      </c>
      <c r="B164" s="353" t="s">
        <v>470</v>
      </c>
      <c r="C164" s="353" t="s">
        <v>471</v>
      </c>
      <c r="D164" s="402" t="s">
        <v>1635</v>
      </c>
      <c r="E164" s="67">
        <v>220626</v>
      </c>
      <c r="F164" s="353"/>
      <c r="J164" s="67" t="s">
        <v>793</v>
      </c>
      <c r="K164" s="67" t="s">
        <v>793</v>
      </c>
      <c r="L164" s="67" t="s">
        <v>793</v>
      </c>
      <c r="M164" s="67" t="s">
        <v>293</v>
      </c>
      <c r="N164" s="67">
        <v>20.46252441</v>
      </c>
      <c r="O164" s="67">
        <v>93.257278439999993</v>
      </c>
      <c r="P164" s="353" t="s">
        <v>794</v>
      </c>
      <c r="Q164" s="67" t="s">
        <v>775</v>
      </c>
      <c r="R164" s="356"/>
      <c r="S164" s="357"/>
      <c r="T164" s="91"/>
      <c r="U164" s="87"/>
      <c r="V164" s="67" t="s">
        <v>893</v>
      </c>
      <c r="W164" s="353"/>
      <c r="X164" s="457"/>
      <c r="Y164" s="457"/>
      <c r="Z164" s="457"/>
    </row>
    <row r="165" spans="1:26" s="67" customFormat="1" ht="14.25" customHeight="1">
      <c r="A165" s="357" t="s">
        <v>2627</v>
      </c>
      <c r="B165" s="459" t="s">
        <v>470</v>
      </c>
      <c r="C165" s="459" t="s">
        <v>2769</v>
      </c>
      <c r="D165" s="402"/>
      <c r="E165" s="67">
        <v>196661</v>
      </c>
      <c r="J165" s="67" t="s">
        <v>2632</v>
      </c>
      <c r="K165" s="67" t="s">
        <v>2600</v>
      </c>
      <c r="L165" s="67" t="s">
        <v>2600</v>
      </c>
      <c r="N165" s="67">
        <v>20.829959869384801</v>
      </c>
      <c r="O165" s="67">
        <v>93.073478698730497</v>
      </c>
      <c r="R165" s="356"/>
      <c r="S165" s="357"/>
      <c r="T165" s="91"/>
      <c r="U165" s="87"/>
      <c r="X165" s="457"/>
      <c r="Y165" s="457"/>
      <c r="Z165" s="457"/>
    </row>
    <row r="166" spans="1:26" s="67" customFormat="1" ht="14.25" customHeight="1">
      <c r="A166" s="357" t="s">
        <v>2627</v>
      </c>
      <c r="B166" s="353" t="s">
        <v>470</v>
      </c>
      <c r="C166" s="353" t="s">
        <v>2544</v>
      </c>
      <c r="D166" s="402"/>
      <c r="E166" s="353"/>
      <c r="F166" s="353"/>
      <c r="G166" s="353"/>
      <c r="H166" s="353"/>
      <c r="I166" s="353"/>
      <c r="J166" s="353" t="s">
        <v>2632</v>
      </c>
      <c r="K166" s="353" t="s">
        <v>2600</v>
      </c>
      <c r="L166" s="353" t="s">
        <v>2631</v>
      </c>
      <c r="M166" s="353"/>
      <c r="N166" s="353"/>
      <c r="O166" s="353"/>
      <c r="P166" s="353"/>
      <c r="Q166" s="353"/>
      <c r="R166" s="356"/>
      <c r="S166" s="357"/>
      <c r="T166" s="376"/>
      <c r="U166" s="358" t="s">
        <v>2541</v>
      </c>
      <c r="V166" s="353"/>
      <c r="W166" s="353"/>
      <c r="X166" s="457"/>
      <c r="Y166" s="457"/>
      <c r="Z166" s="457"/>
    </row>
    <row r="167" spans="1:26" s="67" customFormat="1" ht="14.25" customHeight="1">
      <c r="A167" s="462" t="s">
        <v>2627</v>
      </c>
      <c r="B167" s="457" t="s">
        <v>470</v>
      </c>
      <c r="C167" s="457" t="s">
        <v>2551</v>
      </c>
      <c r="D167" s="402"/>
      <c r="E167" s="353"/>
      <c r="F167" s="353"/>
      <c r="J167" s="67" t="s">
        <v>2632</v>
      </c>
      <c r="K167" s="67" t="s">
        <v>2600</v>
      </c>
      <c r="L167" s="67" t="s">
        <v>2600</v>
      </c>
      <c r="P167" s="353"/>
      <c r="R167" s="461"/>
      <c r="S167" s="357"/>
      <c r="T167" s="91"/>
      <c r="U167" s="463"/>
      <c r="W167" s="457"/>
      <c r="X167" s="457"/>
      <c r="Y167" s="457"/>
      <c r="Z167" s="457"/>
    </row>
    <row r="168" spans="1:26" s="67" customFormat="1" ht="14.25" customHeight="1">
      <c r="A168" s="360" t="s">
        <v>2627</v>
      </c>
      <c r="B168" s="360" t="s">
        <v>470</v>
      </c>
      <c r="C168" s="361" t="s">
        <v>2718</v>
      </c>
      <c r="D168" s="355"/>
      <c r="E168" s="353"/>
      <c r="J168" s="67" t="s">
        <v>2632</v>
      </c>
      <c r="K168" s="67" t="s">
        <v>2600</v>
      </c>
      <c r="L168" s="67" t="s">
        <v>2600</v>
      </c>
      <c r="R168" s="364"/>
      <c r="S168" s="357"/>
      <c r="T168" s="91">
        <v>43591</v>
      </c>
      <c r="U168" s="364"/>
      <c r="W168" s="356"/>
      <c r="X168" s="457"/>
      <c r="Y168" s="457"/>
      <c r="Z168" s="457"/>
    </row>
    <row r="169" spans="1:26" s="67" customFormat="1" ht="14.25" customHeight="1">
      <c r="A169" s="465" t="s">
        <v>2627</v>
      </c>
      <c r="B169" s="465" t="s">
        <v>470</v>
      </c>
      <c r="C169" s="466" t="s">
        <v>2721</v>
      </c>
      <c r="D169" s="460"/>
      <c r="E169" s="67">
        <v>196448</v>
      </c>
      <c r="F169" s="353"/>
      <c r="J169" s="67" t="s">
        <v>2632</v>
      </c>
      <c r="K169" s="353" t="s">
        <v>2600</v>
      </c>
      <c r="L169" s="353" t="s">
        <v>2600</v>
      </c>
      <c r="N169" s="67">
        <v>20.6728000640869</v>
      </c>
      <c r="O169" s="67">
        <v>93.243469238281307</v>
      </c>
      <c r="R169" s="469"/>
      <c r="S169" s="357"/>
      <c r="T169" s="91">
        <v>43591</v>
      </c>
      <c r="U169" s="469"/>
      <c r="W169" s="461"/>
      <c r="X169" s="457"/>
      <c r="Y169" s="457"/>
      <c r="Z169" s="457"/>
    </row>
    <row r="170" spans="1:26" s="67" customFormat="1" ht="14.25" customHeight="1">
      <c r="A170" s="357" t="s">
        <v>2627</v>
      </c>
      <c r="B170" s="353" t="s">
        <v>470</v>
      </c>
      <c r="C170" s="353" t="s">
        <v>548</v>
      </c>
      <c r="D170" s="402" t="s">
        <v>1635</v>
      </c>
      <c r="E170" s="353">
        <v>196642</v>
      </c>
      <c r="I170" s="353"/>
      <c r="J170" s="67" t="s">
        <v>793</v>
      </c>
      <c r="K170" s="67" t="s">
        <v>793</v>
      </c>
      <c r="L170" s="67" t="s">
        <v>793</v>
      </c>
      <c r="M170" s="67" t="s">
        <v>293</v>
      </c>
      <c r="N170" s="67">
        <v>20.70355034</v>
      </c>
      <c r="O170" s="67">
        <v>93.060462950000002</v>
      </c>
      <c r="P170" s="67" t="s">
        <v>794</v>
      </c>
      <c r="Q170" s="67" t="s">
        <v>775</v>
      </c>
      <c r="R170" s="85"/>
      <c r="S170" s="357"/>
      <c r="T170" s="91"/>
      <c r="U170" s="87"/>
      <c r="V170" s="67" t="s">
        <v>548</v>
      </c>
      <c r="W170" s="353"/>
      <c r="X170" s="457"/>
      <c r="Y170" s="457"/>
      <c r="Z170" s="457"/>
    </row>
    <row r="171" spans="1:26" s="67" customFormat="1" ht="14.25" customHeight="1">
      <c r="A171" s="357" t="s">
        <v>2627</v>
      </c>
      <c r="B171" s="457" t="s">
        <v>470</v>
      </c>
      <c r="C171" s="457" t="s">
        <v>2548</v>
      </c>
      <c r="D171" s="402"/>
      <c r="F171" s="457"/>
      <c r="J171" s="67" t="s">
        <v>2632</v>
      </c>
      <c r="K171" s="353" t="s">
        <v>2600</v>
      </c>
      <c r="L171" s="353" t="s">
        <v>2600</v>
      </c>
      <c r="Q171" s="457"/>
      <c r="R171" s="356"/>
      <c r="S171" s="357"/>
      <c r="T171" s="481"/>
      <c r="U171" s="87"/>
      <c r="X171" s="457"/>
      <c r="Y171" s="457"/>
      <c r="Z171" s="457"/>
    </row>
    <row r="172" spans="1:26" s="67" customFormat="1" ht="14.25" customHeight="1">
      <c r="A172" s="357" t="s">
        <v>2627</v>
      </c>
      <c r="B172" s="465" t="s">
        <v>470</v>
      </c>
      <c r="C172" s="459" t="s">
        <v>904</v>
      </c>
      <c r="D172" s="402" t="s">
        <v>2689</v>
      </c>
      <c r="E172" s="67" t="s">
        <v>1376</v>
      </c>
      <c r="F172" s="459" t="s">
        <v>1837</v>
      </c>
      <c r="G172" s="67" t="s">
        <v>1837</v>
      </c>
      <c r="J172" s="67" t="s">
        <v>793</v>
      </c>
      <c r="K172" s="353" t="s">
        <v>793</v>
      </c>
      <c r="L172" s="353" t="s">
        <v>878</v>
      </c>
      <c r="M172" s="67" t="s">
        <v>790</v>
      </c>
      <c r="N172" s="67">
        <v>20.576577</v>
      </c>
      <c r="O172" s="67">
        <v>93.245551000000006</v>
      </c>
      <c r="P172" s="353" t="s">
        <v>794</v>
      </c>
      <c r="Q172" s="459"/>
      <c r="R172" s="356"/>
      <c r="S172" s="357"/>
      <c r="T172" s="482"/>
      <c r="U172" s="87" t="s">
        <v>855</v>
      </c>
      <c r="V172" s="67" t="s">
        <v>904</v>
      </c>
      <c r="W172" s="353"/>
      <c r="X172" s="457"/>
      <c r="Y172" s="457"/>
      <c r="Z172" s="457"/>
    </row>
    <row r="173" spans="1:26" s="67" customFormat="1" ht="14.25" customHeight="1">
      <c r="A173" s="357" t="s">
        <v>2627</v>
      </c>
      <c r="B173" s="353" t="s">
        <v>470</v>
      </c>
      <c r="C173" s="353" t="s">
        <v>2550</v>
      </c>
      <c r="D173" s="402"/>
      <c r="E173" s="353"/>
      <c r="F173" s="353"/>
      <c r="G173" s="353"/>
      <c r="H173" s="353"/>
      <c r="I173" s="353"/>
      <c r="J173" s="353" t="s">
        <v>2632</v>
      </c>
      <c r="K173" s="353" t="s">
        <v>2600</v>
      </c>
      <c r="L173" s="353" t="s">
        <v>2631</v>
      </c>
      <c r="M173" s="353"/>
      <c r="N173" s="353"/>
      <c r="O173" s="353"/>
      <c r="P173" s="353"/>
      <c r="Q173" s="353"/>
      <c r="R173" s="356"/>
      <c r="S173" s="357"/>
      <c r="T173" s="376"/>
      <c r="U173" s="358" t="s">
        <v>2541</v>
      </c>
      <c r="V173" s="353"/>
      <c r="W173" s="353"/>
      <c r="X173" s="457"/>
      <c r="Y173" s="457"/>
      <c r="Z173" s="457"/>
    </row>
    <row r="174" spans="1:26" s="67" customFormat="1" ht="14.25" customHeight="1">
      <c r="A174" s="462" t="s">
        <v>2627</v>
      </c>
      <c r="B174" s="457" t="s">
        <v>470</v>
      </c>
      <c r="C174" s="457" t="s">
        <v>2546</v>
      </c>
      <c r="D174" s="402"/>
      <c r="J174" s="67" t="s">
        <v>2632</v>
      </c>
      <c r="K174" s="353" t="s">
        <v>2600</v>
      </c>
      <c r="L174" s="353" t="s">
        <v>2631</v>
      </c>
      <c r="R174" s="461"/>
      <c r="S174" s="357"/>
      <c r="T174" s="91"/>
      <c r="U174" s="463" t="s">
        <v>2541</v>
      </c>
      <c r="W174" s="457"/>
      <c r="X174" s="457"/>
      <c r="Y174" s="457"/>
      <c r="Z174" s="457"/>
    </row>
    <row r="175" spans="1:26" s="67" customFormat="1" ht="14.25" customHeight="1">
      <c r="A175" s="465" t="s">
        <v>2627</v>
      </c>
      <c r="B175" s="360" t="s">
        <v>470</v>
      </c>
      <c r="C175" s="466" t="s">
        <v>2712</v>
      </c>
      <c r="D175" s="460"/>
      <c r="E175" s="457"/>
      <c r="F175" s="457"/>
      <c r="G175" s="457"/>
      <c r="H175" s="457"/>
      <c r="I175" s="457"/>
      <c r="J175" s="67" t="s">
        <v>2632</v>
      </c>
      <c r="K175" s="353" t="s">
        <v>2600</v>
      </c>
      <c r="L175" s="353" t="s">
        <v>2600</v>
      </c>
      <c r="M175" s="457"/>
      <c r="N175" s="457"/>
      <c r="O175" s="457"/>
      <c r="Q175" s="457"/>
      <c r="R175" s="469"/>
      <c r="S175" s="462"/>
      <c r="T175" s="481">
        <v>43591</v>
      </c>
      <c r="U175" s="469"/>
      <c r="V175" s="457"/>
      <c r="W175" s="461"/>
      <c r="X175" s="457"/>
      <c r="Y175" s="457"/>
      <c r="Z175" s="457"/>
    </row>
    <row r="176" spans="1:26" s="67" customFormat="1" ht="14.25" customHeight="1">
      <c r="A176" s="357" t="s">
        <v>2627</v>
      </c>
      <c r="B176" s="465" t="s">
        <v>470</v>
      </c>
      <c r="C176" s="354" t="s">
        <v>907</v>
      </c>
      <c r="D176" s="403" t="s">
        <v>1635</v>
      </c>
      <c r="E176" s="459">
        <v>196429</v>
      </c>
      <c r="F176" s="459"/>
      <c r="G176" s="459"/>
      <c r="H176" s="459"/>
      <c r="I176" s="459"/>
      <c r="J176" s="67" t="s">
        <v>793</v>
      </c>
      <c r="K176" s="353" t="s">
        <v>793</v>
      </c>
      <c r="L176" s="353" t="s">
        <v>793</v>
      </c>
      <c r="M176" s="459" t="s">
        <v>293</v>
      </c>
      <c r="N176" s="459">
        <v>20.58151054</v>
      </c>
      <c r="O176" s="459">
        <v>93.24609375</v>
      </c>
      <c r="P176" s="67" t="s">
        <v>794</v>
      </c>
      <c r="Q176" s="459"/>
      <c r="R176" s="470"/>
      <c r="S176" s="466"/>
      <c r="T176" s="482"/>
      <c r="U176" s="467"/>
      <c r="V176" s="459" t="s">
        <v>907</v>
      </c>
      <c r="W176" s="353"/>
      <c r="X176" s="457"/>
      <c r="Y176" s="457"/>
      <c r="Z176" s="457"/>
    </row>
    <row r="177" spans="1:26" s="67" customFormat="1" ht="14.25" customHeight="1">
      <c r="A177" s="357" t="s">
        <v>2627</v>
      </c>
      <c r="B177" s="354" t="s">
        <v>470</v>
      </c>
      <c r="C177" s="354" t="s">
        <v>912</v>
      </c>
      <c r="D177" s="402" t="s">
        <v>2689</v>
      </c>
      <c r="E177" s="67" t="s">
        <v>1378</v>
      </c>
      <c r="F177" s="67" t="s">
        <v>490</v>
      </c>
      <c r="G177" s="67" t="s">
        <v>1838</v>
      </c>
      <c r="J177" s="67" t="s">
        <v>793</v>
      </c>
      <c r="K177" s="67" t="s">
        <v>793</v>
      </c>
      <c r="L177" s="67" t="s">
        <v>816</v>
      </c>
      <c r="M177" s="67" t="s">
        <v>293</v>
      </c>
      <c r="N177" s="67">
        <v>20.61692</v>
      </c>
      <c r="O177" s="67">
        <v>93.239519999999999</v>
      </c>
      <c r="P177" s="67" t="s">
        <v>794</v>
      </c>
      <c r="R177" s="356"/>
      <c r="S177" s="357"/>
      <c r="T177" s="91"/>
      <c r="U177" s="87" t="s">
        <v>855</v>
      </c>
      <c r="V177" s="67" t="s">
        <v>912</v>
      </c>
      <c r="X177" s="457"/>
      <c r="Y177" s="457"/>
      <c r="Z177" s="457"/>
    </row>
    <row r="178" spans="1:26" s="67" customFormat="1" ht="14.25" customHeight="1">
      <c r="A178" s="357" t="s">
        <v>2627</v>
      </c>
      <c r="B178" s="354" t="s">
        <v>470</v>
      </c>
      <c r="C178" s="354" t="s">
        <v>2543</v>
      </c>
      <c r="D178" s="402"/>
      <c r="E178" s="67">
        <v>196465</v>
      </c>
      <c r="J178" s="67" t="s">
        <v>2632</v>
      </c>
      <c r="K178" s="67" t="s">
        <v>2600</v>
      </c>
      <c r="L178" s="353" t="s">
        <v>2600</v>
      </c>
      <c r="N178" s="67">
        <v>20.7270202636719</v>
      </c>
      <c r="O178" s="67">
        <v>93.249069213867202</v>
      </c>
      <c r="R178" s="356"/>
      <c r="S178" s="357"/>
      <c r="T178" s="91"/>
      <c r="U178" s="87"/>
      <c r="X178" s="457"/>
      <c r="Y178" s="457"/>
      <c r="Z178" s="457"/>
    </row>
    <row r="179" spans="1:26" s="67" customFormat="1" ht="14.25" customHeight="1">
      <c r="A179" s="357" t="s">
        <v>2627</v>
      </c>
      <c r="B179" s="354" t="s">
        <v>470</v>
      </c>
      <c r="C179" s="354" t="s">
        <v>2542</v>
      </c>
      <c r="D179" s="402"/>
      <c r="F179" s="354"/>
      <c r="J179" s="67" t="s">
        <v>2632</v>
      </c>
      <c r="K179" s="353" t="s">
        <v>2600</v>
      </c>
      <c r="L179" s="353" t="s">
        <v>2631</v>
      </c>
      <c r="R179" s="85"/>
      <c r="S179" s="357"/>
      <c r="T179" s="91"/>
      <c r="U179" s="87" t="s">
        <v>2541</v>
      </c>
      <c r="X179" s="457"/>
      <c r="Y179" s="457"/>
      <c r="Z179" s="457"/>
    </row>
    <row r="180" spans="1:26" s="67" customFormat="1" ht="14.25" customHeight="1">
      <c r="A180" s="357" t="s">
        <v>2627</v>
      </c>
      <c r="B180" s="354" t="s">
        <v>470</v>
      </c>
      <c r="C180" s="354" t="s">
        <v>2549</v>
      </c>
      <c r="D180" s="402"/>
      <c r="J180" s="67" t="s">
        <v>2632</v>
      </c>
      <c r="K180" s="353" t="s">
        <v>2600</v>
      </c>
      <c r="L180" s="353" t="s">
        <v>2600</v>
      </c>
      <c r="N180" s="353"/>
      <c r="O180" s="353"/>
      <c r="P180" s="353"/>
      <c r="R180" s="85"/>
      <c r="S180" s="357"/>
      <c r="T180" s="91"/>
      <c r="U180" s="87"/>
      <c r="W180" s="353"/>
      <c r="X180" s="457"/>
      <c r="Y180" s="457"/>
      <c r="Z180" s="457"/>
    </row>
    <row r="181" spans="1:26" s="67" customFormat="1" ht="14.25" customHeight="1">
      <c r="A181" s="357" t="s">
        <v>2627</v>
      </c>
      <c r="B181" s="354" t="s">
        <v>470</v>
      </c>
      <c r="C181" s="354" t="s">
        <v>2770</v>
      </c>
      <c r="D181" s="402"/>
      <c r="E181" s="353">
        <v>196453</v>
      </c>
      <c r="F181" s="459"/>
      <c r="G181" s="353"/>
      <c r="H181" s="353"/>
      <c r="I181" s="353"/>
      <c r="J181" s="353" t="s">
        <v>2632</v>
      </c>
      <c r="K181" s="353" t="s">
        <v>2600</v>
      </c>
      <c r="L181" s="353" t="s">
        <v>2600</v>
      </c>
      <c r="M181" s="353"/>
      <c r="N181" s="353">
        <v>20.686229705810501</v>
      </c>
      <c r="O181" s="353">
        <v>93.220001220703097</v>
      </c>
      <c r="P181" s="353"/>
      <c r="Q181" s="353"/>
      <c r="R181" s="465"/>
      <c r="S181" s="466"/>
      <c r="T181" s="376"/>
      <c r="U181" s="358"/>
      <c r="V181" s="353"/>
      <c r="W181" s="353"/>
      <c r="X181" s="457"/>
      <c r="Y181" s="457"/>
      <c r="Z181" s="457"/>
    </row>
    <row r="182" spans="1:26" s="67" customFormat="1" ht="14.25" customHeight="1">
      <c r="A182" s="357" t="s">
        <v>2627</v>
      </c>
      <c r="B182" s="354" t="s">
        <v>470</v>
      </c>
      <c r="C182" s="354" t="s">
        <v>2771</v>
      </c>
      <c r="D182" s="402"/>
      <c r="E182" s="67">
        <v>196453</v>
      </c>
      <c r="J182" s="67" t="s">
        <v>2632</v>
      </c>
      <c r="K182" s="353" t="s">
        <v>2600</v>
      </c>
      <c r="L182" s="353" t="s">
        <v>2600</v>
      </c>
      <c r="N182" s="67">
        <v>20.686229705810501</v>
      </c>
      <c r="O182" s="67">
        <v>93.220001220703097</v>
      </c>
      <c r="R182" s="465"/>
      <c r="S182" s="466"/>
      <c r="T182" s="91"/>
      <c r="U182" s="87"/>
      <c r="X182" s="457"/>
      <c r="Y182" s="457"/>
      <c r="Z182" s="457"/>
    </row>
    <row r="183" spans="1:26" s="67" customFormat="1" ht="14.25" customHeight="1">
      <c r="A183" s="462" t="s">
        <v>2627</v>
      </c>
      <c r="B183" s="459" t="s">
        <v>470</v>
      </c>
      <c r="C183" s="459" t="s">
        <v>2553</v>
      </c>
      <c r="D183" s="402"/>
      <c r="E183" s="67">
        <v>196464</v>
      </c>
      <c r="J183" s="67" t="s">
        <v>2632</v>
      </c>
      <c r="K183" s="353" t="s">
        <v>2600</v>
      </c>
      <c r="L183" s="353" t="s">
        <v>2600</v>
      </c>
      <c r="N183" s="67">
        <v>20.7529296875</v>
      </c>
      <c r="O183" s="67">
        <v>93.267311096191406</v>
      </c>
      <c r="R183" s="461"/>
      <c r="S183" s="357"/>
      <c r="T183" s="91"/>
      <c r="U183" s="463"/>
      <c r="W183" s="457"/>
      <c r="X183" s="457"/>
      <c r="Y183" s="457"/>
      <c r="Z183" s="457"/>
    </row>
    <row r="184" spans="1:26" s="67" customFormat="1" ht="14.25" customHeight="1">
      <c r="A184" s="462" t="s">
        <v>2627</v>
      </c>
      <c r="B184" s="459" t="s">
        <v>470</v>
      </c>
      <c r="C184" s="459" t="s">
        <v>2554</v>
      </c>
      <c r="D184" s="402"/>
      <c r="J184" s="67" t="s">
        <v>2632</v>
      </c>
      <c r="K184" s="67" t="s">
        <v>2600</v>
      </c>
      <c r="L184" s="67" t="s">
        <v>2600</v>
      </c>
      <c r="P184" s="353"/>
      <c r="R184" s="461"/>
      <c r="S184" s="357"/>
      <c r="T184" s="91"/>
      <c r="U184" s="463"/>
      <c r="W184" s="457"/>
      <c r="X184" s="457"/>
      <c r="Y184" s="457"/>
      <c r="Z184" s="457"/>
    </row>
    <row r="185" spans="1:26" s="67" customFormat="1" ht="14.25" customHeight="1">
      <c r="A185" s="465" t="s">
        <v>2627</v>
      </c>
      <c r="B185" s="465" t="s">
        <v>470</v>
      </c>
      <c r="C185" s="466" t="s">
        <v>2711</v>
      </c>
      <c r="D185" s="460"/>
      <c r="E185" s="67">
        <v>196645</v>
      </c>
      <c r="J185" s="67" t="s">
        <v>2632</v>
      </c>
      <c r="K185" s="67" t="s">
        <v>2600</v>
      </c>
      <c r="L185" s="353" t="s">
        <v>2600</v>
      </c>
      <c r="N185" s="67">
        <v>20.718429565429702</v>
      </c>
      <c r="O185" s="67">
        <v>93.059432983398395</v>
      </c>
      <c r="R185" s="469"/>
      <c r="S185" s="357"/>
      <c r="T185" s="91">
        <v>43591</v>
      </c>
      <c r="U185" s="469"/>
      <c r="W185" s="461"/>
      <c r="X185" s="457"/>
      <c r="Y185" s="457"/>
      <c r="Z185" s="457"/>
    </row>
    <row r="186" spans="1:26" s="67" customFormat="1" ht="14.25" customHeight="1">
      <c r="A186" s="360" t="s">
        <v>2627</v>
      </c>
      <c r="B186" s="360" t="s">
        <v>470</v>
      </c>
      <c r="C186" s="361" t="s">
        <v>2719</v>
      </c>
      <c r="D186" s="355"/>
      <c r="J186" s="67" t="s">
        <v>2632</v>
      </c>
      <c r="K186" s="67" t="s">
        <v>2600</v>
      </c>
      <c r="L186" s="353" t="s">
        <v>2600</v>
      </c>
      <c r="R186" s="364"/>
      <c r="S186" s="357"/>
      <c r="T186" s="91">
        <v>43591</v>
      </c>
      <c r="U186" s="364"/>
      <c r="W186" s="356"/>
      <c r="X186" s="457"/>
      <c r="Y186" s="457"/>
      <c r="Z186" s="457"/>
    </row>
    <row r="187" spans="1:26" s="67" customFormat="1" ht="14.25" customHeight="1">
      <c r="A187" s="462" t="s">
        <v>2627</v>
      </c>
      <c r="B187" s="459" t="s">
        <v>470</v>
      </c>
      <c r="C187" s="459" t="s">
        <v>897</v>
      </c>
      <c r="D187" s="402" t="s">
        <v>2689</v>
      </c>
      <c r="E187" s="67" t="s">
        <v>1373</v>
      </c>
      <c r="F187" s="67" t="s">
        <v>1835</v>
      </c>
      <c r="G187" s="67" t="s">
        <v>897</v>
      </c>
      <c r="J187" s="67" t="s">
        <v>793</v>
      </c>
      <c r="K187" s="67" t="s">
        <v>793</v>
      </c>
      <c r="L187" s="353" t="s">
        <v>816</v>
      </c>
      <c r="M187" s="67" t="s">
        <v>293</v>
      </c>
      <c r="N187" s="67">
        <v>20.495086000000001</v>
      </c>
      <c r="O187" s="67">
        <v>93.246863000000005</v>
      </c>
      <c r="P187" s="67" t="s">
        <v>794</v>
      </c>
      <c r="R187" s="461"/>
      <c r="S187" s="357"/>
      <c r="T187" s="91"/>
      <c r="U187" s="463" t="s">
        <v>855</v>
      </c>
      <c r="V187" s="67" t="s">
        <v>898</v>
      </c>
      <c r="W187" s="457"/>
      <c r="X187" s="457"/>
      <c r="Y187" s="457"/>
      <c r="Z187" s="457"/>
    </row>
    <row r="188" spans="1:26" s="67" customFormat="1" ht="14.25" customHeight="1">
      <c r="A188" s="360" t="s">
        <v>2627</v>
      </c>
      <c r="B188" s="360" t="s">
        <v>470</v>
      </c>
      <c r="C188" s="361" t="s">
        <v>2709</v>
      </c>
      <c r="D188" s="355"/>
      <c r="E188" s="353">
        <v>196626</v>
      </c>
      <c r="F188" s="353"/>
      <c r="J188" s="67" t="s">
        <v>2632</v>
      </c>
      <c r="K188" s="353" t="s">
        <v>2600</v>
      </c>
      <c r="L188" s="353" t="s">
        <v>2600</v>
      </c>
      <c r="N188" s="67">
        <v>20.648319244384801</v>
      </c>
      <c r="O188" s="67">
        <v>93.085273742675795</v>
      </c>
      <c r="R188" s="364"/>
      <c r="S188" s="357"/>
      <c r="T188" s="91">
        <v>43591</v>
      </c>
      <c r="U188" s="364"/>
      <c r="W188" s="356"/>
      <c r="X188" s="457"/>
      <c r="Y188" s="457"/>
      <c r="Z188" s="457"/>
    </row>
    <row r="189" spans="1:26" s="67" customFormat="1" ht="14.25" customHeight="1">
      <c r="A189" s="465" t="s">
        <v>2627</v>
      </c>
      <c r="B189" s="465" t="s">
        <v>470</v>
      </c>
      <c r="C189" s="466" t="s">
        <v>2706</v>
      </c>
      <c r="D189" s="460"/>
      <c r="F189" s="353"/>
      <c r="J189" s="67" t="s">
        <v>2632</v>
      </c>
      <c r="K189" s="353" t="s">
        <v>2600</v>
      </c>
      <c r="L189" s="353" t="s">
        <v>2600</v>
      </c>
      <c r="R189" s="469"/>
      <c r="S189" s="357"/>
      <c r="T189" s="91">
        <v>43591</v>
      </c>
      <c r="U189" s="469"/>
      <c r="W189" s="461"/>
      <c r="X189" s="457"/>
      <c r="Y189" s="457"/>
      <c r="Z189" s="457"/>
    </row>
    <row r="190" spans="1:26" s="67" customFormat="1" ht="14.25" customHeight="1">
      <c r="A190" s="360" t="s">
        <v>2627</v>
      </c>
      <c r="B190" s="360" t="s">
        <v>470</v>
      </c>
      <c r="C190" s="361" t="s">
        <v>2708</v>
      </c>
      <c r="D190" s="355"/>
      <c r="E190" s="67">
        <v>196621</v>
      </c>
      <c r="J190" s="67" t="s">
        <v>2632</v>
      </c>
      <c r="K190" s="353" t="s">
        <v>2600</v>
      </c>
      <c r="L190" s="353" t="s">
        <v>2600</v>
      </c>
      <c r="N190" s="67">
        <v>20.675979614257798</v>
      </c>
      <c r="O190" s="353">
        <v>93.098922729492202</v>
      </c>
      <c r="R190" s="364"/>
      <c r="S190" s="357"/>
      <c r="T190" s="91">
        <v>43591</v>
      </c>
      <c r="U190" s="364"/>
      <c r="W190" s="356"/>
      <c r="X190" s="457"/>
      <c r="Y190" s="457"/>
      <c r="Z190" s="457"/>
    </row>
    <row r="191" spans="1:26" s="67" customFormat="1" ht="14.25" customHeight="1">
      <c r="A191" s="462" t="s">
        <v>2627</v>
      </c>
      <c r="B191" s="459" t="s">
        <v>470</v>
      </c>
      <c r="C191" s="459" t="s">
        <v>2547</v>
      </c>
      <c r="D191" s="402"/>
      <c r="E191" s="353"/>
      <c r="F191" s="353"/>
      <c r="J191" s="67" t="s">
        <v>2632</v>
      </c>
      <c r="K191" s="353" t="s">
        <v>2600</v>
      </c>
      <c r="L191" s="353" t="s">
        <v>2600</v>
      </c>
      <c r="R191" s="461"/>
      <c r="S191" s="357"/>
      <c r="T191" s="91"/>
      <c r="U191" s="463"/>
      <c r="W191" s="457"/>
      <c r="X191" s="457"/>
      <c r="Y191" s="457"/>
      <c r="Z191" s="457"/>
    </row>
    <row r="192" spans="1:26" s="67" customFormat="1" ht="14.25" customHeight="1">
      <c r="A192" s="465" t="s">
        <v>2627</v>
      </c>
      <c r="B192" s="465" t="s">
        <v>470</v>
      </c>
      <c r="C192" s="466" t="s">
        <v>2705</v>
      </c>
      <c r="D192" s="460"/>
      <c r="E192" s="353"/>
      <c r="F192" s="353"/>
      <c r="G192" s="353"/>
      <c r="H192" s="353"/>
      <c r="I192" s="353"/>
      <c r="J192" s="67" t="s">
        <v>2632</v>
      </c>
      <c r="K192" s="353" t="s">
        <v>2600</v>
      </c>
      <c r="L192" s="353" t="s">
        <v>2600</v>
      </c>
      <c r="N192" s="353"/>
      <c r="O192" s="353"/>
      <c r="P192" s="353"/>
      <c r="R192" s="469"/>
      <c r="S192" s="357"/>
      <c r="T192" s="91">
        <v>43591</v>
      </c>
      <c r="U192" s="469"/>
      <c r="V192" s="353"/>
      <c r="W192" s="461"/>
      <c r="X192" s="457"/>
      <c r="Y192" s="457"/>
      <c r="Z192" s="457"/>
    </row>
    <row r="193" spans="1:26" s="67" customFormat="1" ht="14.25" customHeight="1">
      <c r="A193" s="360" t="s">
        <v>2627</v>
      </c>
      <c r="B193" s="360" t="s">
        <v>470</v>
      </c>
      <c r="C193" s="361" t="s">
        <v>2710</v>
      </c>
      <c r="D193" s="355"/>
      <c r="E193" s="67">
        <v>196636</v>
      </c>
      <c r="J193" s="67" t="s">
        <v>2632</v>
      </c>
      <c r="K193" s="353" t="s">
        <v>2600</v>
      </c>
      <c r="L193" s="353" t="s">
        <v>2600</v>
      </c>
      <c r="N193" s="67">
        <v>20.6698608398438</v>
      </c>
      <c r="O193" s="353">
        <v>93.087516784667997</v>
      </c>
      <c r="P193" s="353"/>
      <c r="R193" s="364"/>
      <c r="S193" s="357"/>
      <c r="T193" s="91">
        <v>43591</v>
      </c>
      <c r="U193" s="364"/>
      <c r="W193" s="356"/>
      <c r="X193" s="457"/>
      <c r="Y193" s="457"/>
      <c r="Z193" s="457"/>
    </row>
    <row r="194" spans="1:26" s="67" customFormat="1" ht="14.25" customHeight="1">
      <c r="A194" s="357" t="s">
        <v>2627</v>
      </c>
      <c r="B194" s="354" t="s">
        <v>470</v>
      </c>
      <c r="C194" s="354" t="s">
        <v>899</v>
      </c>
      <c r="D194" s="402" t="s">
        <v>2689</v>
      </c>
      <c r="E194" s="67" t="s">
        <v>1374</v>
      </c>
      <c r="F194" s="457" t="s">
        <v>1836</v>
      </c>
      <c r="G194" s="67" t="s">
        <v>1836</v>
      </c>
      <c r="J194" s="67" t="s">
        <v>793</v>
      </c>
      <c r="K194" s="353" t="s">
        <v>793</v>
      </c>
      <c r="L194" s="353" t="s">
        <v>878</v>
      </c>
      <c r="M194" s="67" t="s">
        <v>790</v>
      </c>
      <c r="N194" s="67">
        <v>20.501757999999999</v>
      </c>
      <c r="O194" s="67">
        <v>93.217039999999997</v>
      </c>
      <c r="P194" s="67" t="s">
        <v>794</v>
      </c>
      <c r="R194" s="461"/>
      <c r="S194" s="462"/>
      <c r="T194" s="91"/>
      <c r="U194" s="87" t="s">
        <v>855</v>
      </c>
      <c r="V194" s="67" t="s">
        <v>900</v>
      </c>
      <c r="W194" s="459"/>
      <c r="X194" s="457"/>
      <c r="Y194" s="457"/>
      <c r="Z194" s="457"/>
    </row>
    <row r="195" spans="1:26" s="67" customFormat="1" ht="14.25" customHeight="1">
      <c r="A195" s="465" t="s">
        <v>2627</v>
      </c>
      <c r="B195" s="465" t="s">
        <v>470</v>
      </c>
      <c r="C195" s="466" t="s">
        <v>2707</v>
      </c>
      <c r="D195" s="460"/>
      <c r="E195" s="353">
        <v>196622</v>
      </c>
      <c r="J195" s="67" t="s">
        <v>2632</v>
      </c>
      <c r="K195" s="67" t="s">
        <v>2600</v>
      </c>
      <c r="L195" s="353" t="s">
        <v>2600</v>
      </c>
      <c r="N195" s="353">
        <v>20.666166305541999</v>
      </c>
      <c r="O195" s="353">
        <v>93.094825744628906</v>
      </c>
      <c r="R195" s="469"/>
      <c r="S195" s="462"/>
      <c r="T195" s="91">
        <v>43591</v>
      </c>
      <c r="U195" s="469"/>
      <c r="W195" s="461"/>
      <c r="X195" s="457"/>
      <c r="Y195" s="457"/>
      <c r="Z195" s="457"/>
    </row>
    <row r="196" spans="1:26" s="67" customFormat="1" ht="14.25" customHeight="1">
      <c r="A196" s="357" t="s">
        <v>2627</v>
      </c>
      <c r="B196" s="354" t="s">
        <v>398</v>
      </c>
      <c r="C196" s="354" t="s">
        <v>811</v>
      </c>
      <c r="D196" s="402" t="s">
        <v>1635</v>
      </c>
      <c r="E196" s="67">
        <v>197254</v>
      </c>
      <c r="F196" s="353"/>
      <c r="I196" s="353"/>
      <c r="J196" s="67" t="s">
        <v>793</v>
      </c>
      <c r="K196" s="353" t="s">
        <v>793</v>
      </c>
      <c r="L196" s="353" t="s">
        <v>793</v>
      </c>
      <c r="M196" s="67" t="s">
        <v>293</v>
      </c>
      <c r="N196" s="67">
        <v>20.021469119999999</v>
      </c>
      <c r="O196" s="67">
        <v>93.367980959999997</v>
      </c>
      <c r="P196" s="353" t="s">
        <v>794</v>
      </c>
      <c r="R196" s="360"/>
      <c r="S196" s="361"/>
      <c r="T196" s="91"/>
      <c r="U196" s="87"/>
      <c r="V196" s="67" t="s">
        <v>811</v>
      </c>
      <c r="X196" s="457"/>
      <c r="Y196" s="457"/>
      <c r="Z196" s="457"/>
    </row>
    <row r="197" spans="1:26" s="67" customFormat="1" ht="14.25" customHeight="1">
      <c r="A197" s="357" t="s">
        <v>2627</v>
      </c>
      <c r="B197" s="354" t="s">
        <v>398</v>
      </c>
      <c r="C197" s="354" t="s">
        <v>812</v>
      </c>
      <c r="D197" s="402" t="s">
        <v>1635</v>
      </c>
      <c r="E197" s="353">
        <v>197253</v>
      </c>
      <c r="F197" s="354"/>
      <c r="G197" s="353"/>
      <c r="H197" s="353"/>
      <c r="I197" s="353"/>
      <c r="J197" s="67" t="s">
        <v>793</v>
      </c>
      <c r="K197" s="353" t="s">
        <v>793</v>
      </c>
      <c r="L197" s="353" t="s">
        <v>793</v>
      </c>
      <c r="M197" s="67" t="s">
        <v>293</v>
      </c>
      <c r="N197" s="67">
        <v>20.023879999999998</v>
      </c>
      <c r="O197" s="67">
        <v>93.376663210000004</v>
      </c>
      <c r="P197" s="67" t="s">
        <v>794</v>
      </c>
      <c r="R197" s="360"/>
      <c r="S197" s="361"/>
      <c r="T197" s="91"/>
      <c r="U197" s="87"/>
      <c r="V197" s="67" t="s">
        <v>812</v>
      </c>
      <c r="X197" s="457"/>
      <c r="Y197" s="457"/>
      <c r="Z197" s="457"/>
    </row>
    <row r="198" spans="1:26" s="67" customFormat="1" ht="14.25" customHeight="1">
      <c r="A198" s="357" t="s">
        <v>2627</v>
      </c>
      <c r="B198" s="354" t="s">
        <v>398</v>
      </c>
      <c r="C198" s="354" t="s">
        <v>814</v>
      </c>
      <c r="D198" s="402" t="s">
        <v>1635</v>
      </c>
      <c r="E198" s="67">
        <v>217974</v>
      </c>
      <c r="F198" s="354"/>
      <c r="J198" s="67" t="s">
        <v>793</v>
      </c>
      <c r="K198" s="353" t="s">
        <v>793</v>
      </c>
      <c r="L198" s="353" t="s">
        <v>793</v>
      </c>
      <c r="M198" s="67" t="s">
        <v>293</v>
      </c>
      <c r="N198" s="67">
        <v>20.032299999999999</v>
      </c>
      <c r="O198" s="67">
        <v>93.375100000000003</v>
      </c>
      <c r="P198" s="67" t="s">
        <v>794</v>
      </c>
      <c r="R198" s="360"/>
      <c r="S198" s="361"/>
      <c r="T198" s="91"/>
      <c r="U198" s="87"/>
      <c r="V198" s="67" t="s">
        <v>814</v>
      </c>
      <c r="W198" s="353"/>
      <c r="X198" s="457"/>
      <c r="Y198" s="457"/>
      <c r="Z198" s="457"/>
    </row>
    <row r="199" spans="1:26" s="67" customFormat="1" ht="14.25" customHeight="1">
      <c r="A199" s="357" t="s">
        <v>2627</v>
      </c>
      <c r="B199" s="354" t="s">
        <v>398</v>
      </c>
      <c r="C199" s="354" t="s">
        <v>829</v>
      </c>
      <c r="D199" s="402" t="s">
        <v>1635</v>
      </c>
      <c r="E199" s="353">
        <v>197279</v>
      </c>
      <c r="F199" s="353"/>
      <c r="G199" s="353"/>
      <c r="H199" s="353"/>
      <c r="I199" s="353"/>
      <c r="J199" s="67" t="s">
        <v>793</v>
      </c>
      <c r="K199" s="353" t="s">
        <v>793</v>
      </c>
      <c r="L199" s="353" t="s">
        <v>793</v>
      </c>
      <c r="M199" s="353" t="s">
        <v>293</v>
      </c>
      <c r="N199" s="353">
        <v>20.100000000000001</v>
      </c>
      <c r="O199" s="353">
        <v>93.35</v>
      </c>
      <c r="P199" s="67" t="s">
        <v>794</v>
      </c>
      <c r="Q199" s="353"/>
      <c r="R199" s="360"/>
      <c r="S199" s="361"/>
      <c r="T199" s="376"/>
      <c r="U199" s="358"/>
      <c r="V199" s="353" t="s">
        <v>829</v>
      </c>
      <c r="X199" s="457"/>
      <c r="Y199" s="457"/>
      <c r="Z199" s="457"/>
    </row>
    <row r="200" spans="1:26" s="67" customFormat="1" ht="14.25" customHeight="1">
      <c r="A200" s="357" t="s">
        <v>2627</v>
      </c>
      <c r="B200" s="354" t="s">
        <v>398</v>
      </c>
      <c r="C200" s="354" t="s">
        <v>827</v>
      </c>
      <c r="D200" s="402" t="s">
        <v>1635</v>
      </c>
      <c r="E200" s="353">
        <v>197277</v>
      </c>
      <c r="F200" s="353"/>
      <c r="G200" s="353"/>
      <c r="H200" s="353"/>
      <c r="I200" s="353"/>
      <c r="J200" s="67" t="s">
        <v>793</v>
      </c>
      <c r="K200" s="353" t="s">
        <v>793</v>
      </c>
      <c r="L200" s="353" t="s">
        <v>793</v>
      </c>
      <c r="M200" s="67" t="s">
        <v>293</v>
      </c>
      <c r="N200" s="67">
        <v>20.079999999999998</v>
      </c>
      <c r="O200" s="353">
        <v>93.36</v>
      </c>
      <c r="P200" s="67" t="s">
        <v>794</v>
      </c>
      <c r="R200" s="360"/>
      <c r="S200" s="361"/>
      <c r="T200" s="91"/>
      <c r="U200" s="87"/>
      <c r="V200" s="67" t="s">
        <v>827</v>
      </c>
      <c r="W200" s="353"/>
      <c r="X200" s="457"/>
      <c r="Y200" s="457"/>
      <c r="Z200" s="457"/>
    </row>
    <row r="201" spans="1:26" s="67" customFormat="1" ht="14.25" customHeight="1">
      <c r="A201" s="86" t="s">
        <v>2627</v>
      </c>
      <c r="B201" s="354" t="s">
        <v>398</v>
      </c>
      <c r="C201" s="354" t="s">
        <v>400</v>
      </c>
      <c r="D201" s="402" t="s">
        <v>2689</v>
      </c>
      <c r="E201" s="67" t="s">
        <v>1333</v>
      </c>
      <c r="F201" s="67" t="s">
        <v>1665</v>
      </c>
      <c r="G201" s="67" t="s">
        <v>1717</v>
      </c>
      <c r="J201" s="67" t="s">
        <v>793</v>
      </c>
      <c r="K201" s="353" t="s">
        <v>793</v>
      </c>
      <c r="L201" s="353" t="s">
        <v>816</v>
      </c>
      <c r="M201" s="67" t="s">
        <v>293</v>
      </c>
      <c r="N201" s="67">
        <v>20.041981</v>
      </c>
      <c r="O201" s="353">
        <v>93.373951000000005</v>
      </c>
      <c r="P201" s="67" t="s">
        <v>794</v>
      </c>
      <c r="Q201" s="67" t="s">
        <v>775</v>
      </c>
      <c r="R201" s="356"/>
      <c r="S201" s="357"/>
      <c r="T201" s="91"/>
      <c r="U201" s="87"/>
      <c r="V201" s="67" t="s">
        <v>400</v>
      </c>
      <c r="W201" s="353"/>
      <c r="X201" s="457"/>
      <c r="Y201" s="457"/>
      <c r="Z201" s="457"/>
    </row>
    <row r="202" spans="1:26" s="67" customFormat="1" ht="14.25" customHeight="1">
      <c r="A202" s="86" t="s">
        <v>2627</v>
      </c>
      <c r="B202" s="354" t="s">
        <v>398</v>
      </c>
      <c r="C202" s="354" t="s">
        <v>843</v>
      </c>
      <c r="D202" s="402" t="s">
        <v>1635</v>
      </c>
      <c r="E202" s="353">
        <v>197286</v>
      </c>
      <c r="F202" s="353"/>
      <c r="G202" s="353"/>
      <c r="H202" s="353"/>
      <c r="I202" s="353"/>
      <c r="J202" s="353" t="s">
        <v>793</v>
      </c>
      <c r="K202" s="353" t="s">
        <v>793</v>
      </c>
      <c r="L202" s="353" t="s">
        <v>793</v>
      </c>
      <c r="M202" s="353" t="s">
        <v>293</v>
      </c>
      <c r="N202" s="353">
        <v>20.149999999999999</v>
      </c>
      <c r="O202" s="353">
        <v>93.41</v>
      </c>
      <c r="P202" s="353" t="s">
        <v>794</v>
      </c>
      <c r="Q202" s="353"/>
      <c r="R202" s="360"/>
      <c r="S202" s="361"/>
      <c r="T202" s="376"/>
      <c r="U202" s="358"/>
      <c r="V202" s="353" t="s">
        <v>843</v>
      </c>
      <c r="W202" s="353"/>
      <c r="X202" s="457"/>
      <c r="Y202" s="457"/>
      <c r="Z202" s="457"/>
    </row>
    <row r="203" spans="1:26" s="67" customFormat="1" ht="14.25" customHeight="1">
      <c r="A203" s="357" t="s">
        <v>2627</v>
      </c>
      <c r="B203" s="354" t="s">
        <v>398</v>
      </c>
      <c r="C203" s="354" t="s">
        <v>810</v>
      </c>
      <c r="D203" s="402" t="s">
        <v>1635</v>
      </c>
      <c r="E203" s="67">
        <v>197309</v>
      </c>
      <c r="J203" s="67" t="s">
        <v>793</v>
      </c>
      <c r="K203" s="353" t="s">
        <v>793</v>
      </c>
      <c r="L203" s="353" t="s">
        <v>793</v>
      </c>
      <c r="M203" s="67" t="s">
        <v>293</v>
      </c>
      <c r="N203" s="67">
        <v>20.010000000000002</v>
      </c>
      <c r="O203" s="353">
        <v>93.42</v>
      </c>
      <c r="P203" s="67" t="s">
        <v>794</v>
      </c>
      <c r="R203" s="360"/>
      <c r="S203" s="361"/>
      <c r="T203" s="91"/>
      <c r="U203" s="87"/>
      <c r="V203" s="67" t="s">
        <v>810</v>
      </c>
      <c r="X203" s="457"/>
      <c r="Y203" s="457"/>
      <c r="Z203" s="457"/>
    </row>
    <row r="204" spans="1:26" s="67" customFormat="1" ht="14.25" customHeight="1">
      <c r="A204" s="357" t="s">
        <v>2627</v>
      </c>
      <c r="B204" s="354" t="s">
        <v>398</v>
      </c>
      <c r="C204" s="354" t="s">
        <v>813</v>
      </c>
      <c r="D204" s="402" t="s">
        <v>1635</v>
      </c>
      <c r="E204" s="67">
        <v>197255</v>
      </c>
      <c r="J204" s="67" t="s">
        <v>793</v>
      </c>
      <c r="K204" s="353" t="s">
        <v>793</v>
      </c>
      <c r="L204" s="353" t="s">
        <v>793</v>
      </c>
      <c r="M204" s="67" t="s">
        <v>293</v>
      </c>
      <c r="N204" s="67">
        <v>20.03</v>
      </c>
      <c r="O204" s="353">
        <v>93.38</v>
      </c>
      <c r="P204" s="67" t="s">
        <v>794</v>
      </c>
      <c r="R204" s="360"/>
      <c r="S204" s="361"/>
      <c r="T204" s="91"/>
      <c r="U204" s="87"/>
      <c r="V204" s="67" t="s">
        <v>813</v>
      </c>
      <c r="W204" s="353"/>
      <c r="X204" s="457"/>
      <c r="Y204" s="457"/>
      <c r="Z204" s="457"/>
    </row>
    <row r="205" spans="1:26" s="67" customFormat="1" ht="14.25" customHeight="1">
      <c r="A205" s="357" t="s">
        <v>2627</v>
      </c>
      <c r="B205" s="354" t="s">
        <v>398</v>
      </c>
      <c r="C205" s="354" t="s">
        <v>815</v>
      </c>
      <c r="D205" s="402" t="s">
        <v>1635</v>
      </c>
      <c r="E205" s="67">
        <v>217973</v>
      </c>
      <c r="F205" s="353"/>
      <c r="J205" s="67" t="s">
        <v>793</v>
      </c>
      <c r="K205" s="353" t="s">
        <v>793</v>
      </c>
      <c r="L205" s="353" t="s">
        <v>793</v>
      </c>
      <c r="M205" s="67" t="s">
        <v>293</v>
      </c>
      <c r="N205" s="67">
        <v>20.032760620000001</v>
      </c>
      <c r="O205" s="67">
        <v>93.372978209999999</v>
      </c>
      <c r="P205" s="67" t="s">
        <v>794</v>
      </c>
      <c r="R205" s="360"/>
      <c r="S205" s="361"/>
      <c r="T205" s="91"/>
      <c r="U205" s="87"/>
      <c r="V205" s="67" t="s">
        <v>815</v>
      </c>
      <c r="W205" s="353"/>
      <c r="X205" s="457"/>
      <c r="Y205" s="457"/>
      <c r="Z205" s="457"/>
    </row>
    <row r="206" spans="1:26" s="67" customFormat="1" ht="14.25" customHeight="1">
      <c r="A206" s="357" t="s">
        <v>2627</v>
      </c>
      <c r="B206" s="354" t="s">
        <v>398</v>
      </c>
      <c r="C206" s="354" t="s">
        <v>399</v>
      </c>
      <c r="D206" s="402" t="s">
        <v>3088</v>
      </c>
      <c r="E206" s="67" t="s">
        <v>1332</v>
      </c>
      <c r="H206" s="67" t="s">
        <v>41</v>
      </c>
      <c r="I206" s="67" t="s">
        <v>397</v>
      </c>
      <c r="J206" s="67" t="s">
        <v>43</v>
      </c>
      <c r="K206" s="67" t="s">
        <v>43</v>
      </c>
      <c r="L206" s="353" t="s">
        <v>789</v>
      </c>
      <c r="M206" s="67" t="s">
        <v>790</v>
      </c>
      <c r="N206" s="67">
        <v>20.037655000000001</v>
      </c>
      <c r="O206" s="353">
        <v>93.370037999999994</v>
      </c>
      <c r="P206" s="67" t="s">
        <v>756</v>
      </c>
      <c r="Q206" s="67" t="s">
        <v>775</v>
      </c>
      <c r="R206" s="461">
        <v>747</v>
      </c>
      <c r="S206" s="461">
        <v>3495</v>
      </c>
      <c r="T206" s="91"/>
      <c r="U206" s="87"/>
      <c r="V206" s="67" t="s">
        <v>399</v>
      </c>
      <c r="X206" s="457">
        <v>73</v>
      </c>
      <c r="Y206" s="457">
        <v>318</v>
      </c>
      <c r="Z206" s="457">
        <v>391</v>
      </c>
    </row>
    <row r="207" spans="1:26" s="67" customFormat="1" ht="14.25" customHeight="1">
      <c r="A207" s="357" t="s">
        <v>2627</v>
      </c>
      <c r="B207" s="354" t="s">
        <v>398</v>
      </c>
      <c r="C207" s="354" t="s">
        <v>820</v>
      </c>
      <c r="D207" s="402" t="s">
        <v>1635</v>
      </c>
      <c r="E207" s="67">
        <v>197378</v>
      </c>
      <c r="F207" s="354"/>
      <c r="J207" s="67" t="s">
        <v>793</v>
      </c>
      <c r="K207" s="353" t="s">
        <v>793</v>
      </c>
      <c r="L207" s="353" t="s">
        <v>793</v>
      </c>
      <c r="M207" s="67" t="s">
        <v>293</v>
      </c>
      <c r="N207" s="67">
        <v>20.061309810000001</v>
      </c>
      <c r="O207" s="67">
        <v>93.540641780000001</v>
      </c>
      <c r="P207" s="67" t="s">
        <v>794</v>
      </c>
      <c r="R207" s="360"/>
      <c r="S207" s="361"/>
      <c r="T207" s="91"/>
      <c r="U207" s="87"/>
      <c r="V207" s="67" t="s">
        <v>820</v>
      </c>
      <c r="X207" s="457"/>
      <c r="Y207" s="457"/>
      <c r="Z207" s="457"/>
    </row>
    <row r="208" spans="1:26" s="67" customFormat="1" ht="14.25" customHeight="1">
      <c r="A208" s="357" t="s">
        <v>2627</v>
      </c>
      <c r="B208" s="354" t="s">
        <v>398</v>
      </c>
      <c r="C208" s="354" t="s">
        <v>833</v>
      </c>
      <c r="D208" s="402" t="s">
        <v>1635</v>
      </c>
      <c r="E208" s="67">
        <v>197280</v>
      </c>
      <c r="F208" s="353"/>
      <c r="J208" s="67" t="s">
        <v>793</v>
      </c>
      <c r="K208" s="353" t="s">
        <v>793</v>
      </c>
      <c r="L208" s="353" t="s">
        <v>793</v>
      </c>
      <c r="M208" s="67" t="s">
        <v>293</v>
      </c>
      <c r="N208" s="67">
        <v>20.12</v>
      </c>
      <c r="O208" s="67">
        <v>93.34</v>
      </c>
      <c r="P208" s="67" t="s">
        <v>794</v>
      </c>
      <c r="R208" s="360"/>
      <c r="S208" s="361"/>
      <c r="T208" s="91"/>
      <c r="U208" s="87"/>
      <c r="V208" s="67" t="s">
        <v>833</v>
      </c>
      <c r="W208" s="353"/>
      <c r="X208" s="457"/>
      <c r="Y208" s="457"/>
      <c r="Z208" s="457"/>
    </row>
    <row r="209" spans="1:26" s="67" customFormat="1" ht="14.25" customHeight="1">
      <c r="A209" s="357" t="s">
        <v>2627</v>
      </c>
      <c r="B209" s="354" t="s">
        <v>398</v>
      </c>
      <c r="C209" s="354" t="s">
        <v>828</v>
      </c>
      <c r="D209" s="402" t="s">
        <v>1635</v>
      </c>
      <c r="E209" s="67">
        <v>197366</v>
      </c>
      <c r="F209" s="354"/>
      <c r="J209" s="67" t="s">
        <v>793</v>
      </c>
      <c r="K209" s="67" t="s">
        <v>793</v>
      </c>
      <c r="L209" s="67" t="s">
        <v>793</v>
      </c>
      <c r="M209" s="67" t="s">
        <v>293</v>
      </c>
      <c r="N209" s="67">
        <v>20.084</v>
      </c>
      <c r="O209" s="353">
        <v>93.483999999999995</v>
      </c>
      <c r="P209" s="353" t="s">
        <v>794</v>
      </c>
      <c r="R209" s="360"/>
      <c r="S209" s="361"/>
      <c r="T209" s="91"/>
      <c r="U209" s="87"/>
      <c r="V209" s="67" t="s">
        <v>828</v>
      </c>
      <c r="W209" s="353"/>
      <c r="X209" s="457"/>
      <c r="Y209" s="457"/>
      <c r="Z209" s="457"/>
    </row>
    <row r="210" spans="1:26" s="67" customFormat="1" ht="14.25" customHeight="1">
      <c r="A210" s="357" t="s">
        <v>2627</v>
      </c>
      <c r="B210" s="354" t="s">
        <v>401</v>
      </c>
      <c r="C210" s="354" t="s">
        <v>2775</v>
      </c>
      <c r="D210" s="402"/>
      <c r="E210" s="354">
        <v>196310</v>
      </c>
      <c r="J210" s="67" t="s">
        <v>2632</v>
      </c>
      <c r="K210" s="67" t="s">
        <v>2600</v>
      </c>
      <c r="L210" s="353" t="s">
        <v>2600</v>
      </c>
      <c r="M210" s="67" t="s">
        <v>2602</v>
      </c>
      <c r="N210" s="67">
        <v>20.61741065979</v>
      </c>
      <c r="O210" s="67">
        <v>92.932502746582003</v>
      </c>
      <c r="R210" s="356"/>
      <c r="S210" s="357"/>
      <c r="T210" s="91"/>
      <c r="U210" s="87"/>
      <c r="V210" s="67" t="s">
        <v>2518</v>
      </c>
      <c r="W210" s="353"/>
      <c r="X210" s="457"/>
      <c r="Y210" s="457"/>
      <c r="Z210" s="457"/>
    </row>
    <row r="211" spans="1:26" s="67" customFormat="1" ht="14.25" customHeight="1">
      <c r="A211" s="357" t="s">
        <v>2627</v>
      </c>
      <c r="B211" s="354" t="s">
        <v>401</v>
      </c>
      <c r="C211" s="354" t="s">
        <v>410</v>
      </c>
      <c r="D211" s="402" t="s">
        <v>1635</v>
      </c>
      <c r="E211" s="67">
        <v>197558</v>
      </c>
      <c r="F211" s="353"/>
      <c r="J211" s="67" t="s">
        <v>793</v>
      </c>
      <c r="K211" s="67" t="s">
        <v>793</v>
      </c>
      <c r="L211" s="67" t="s">
        <v>793</v>
      </c>
      <c r="M211" s="67" t="s">
        <v>790</v>
      </c>
      <c r="N211" s="67">
        <v>20.099340439999999</v>
      </c>
      <c r="O211" s="67">
        <v>92.989143369999994</v>
      </c>
      <c r="P211" s="353" t="s">
        <v>794</v>
      </c>
      <c r="Q211" s="67" t="s">
        <v>775</v>
      </c>
      <c r="R211" s="360"/>
      <c r="S211" s="361"/>
      <c r="T211" s="91"/>
      <c r="U211" s="87"/>
      <c r="W211" s="353"/>
      <c r="X211" s="457"/>
      <c r="Y211" s="457"/>
      <c r="Z211" s="457"/>
    </row>
    <row r="212" spans="1:26" s="67" customFormat="1" ht="14.25" customHeight="1">
      <c r="A212" s="357" t="s">
        <v>2627</v>
      </c>
      <c r="B212" s="354" t="s">
        <v>401</v>
      </c>
      <c r="C212" s="354" t="s">
        <v>411</v>
      </c>
      <c r="D212" s="402" t="s">
        <v>3088</v>
      </c>
      <c r="E212" s="353" t="s">
        <v>1338</v>
      </c>
      <c r="F212" s="353" t="s">
        <v>830</v>
      </c>
      <c r="G212" s="353" t="s">
        <v>531</v>
      </c>
      <c r="H212" s="353" t="s">
        <v>41</v>
      </c>
      <c r="I212" s="353" t="s">
        <v>2952</v>
      </c>
      <c r="J212" s="67" t="s">
        <v>43</v>
      </c>
      <c r="K212" s="354" t="s">
        <v>43</v>
      </c>
      <c r="L212" s="354" t="s">
        <v>789</v>
      </c>
      <c r="M212" s="67" t="s">
        <v>790</v>
      </c>
      <c r="N212" s="67">
        <v>20.108101999999999</v>
      </c>
      <c r="O212" s="67">
        <v>92.985095000000001</v>
      </c>
      <c r="P212" s="67" t="s">
        <v>756</v>
      </c>
      <c r="Q212" s="67" t="s">
        <v>775</v>
      </c>
      <c r="R212" s="461">
        <v>1115</v>
      </c>
      <c r="S212" s="461">
        <v>5197</v>
      </c>
      <c r="T212" s="91"/>
      <c r="U212" s="87"/>
      <c r="V212" s="67" t="s">
        <v>832</v>
      </c>
      <c r="X212" s="457">
        <v>279</v>
      </c>
      <c r="Y212" s="457">
        <v>636</v>
      </c>
      <c r="Z212" s="457">
        <v>915</v>
      </c>
    </row>
    <row r="213" spans="1:26" s="67" customFormat="1" ht="14.25" customHeight="1">
      <c r="A213" s="357" t="s">
        <v>2627</v>
      </c>
      <c r="B213" s="354" t="s">
        <v>401</v>
      </c>
      <c r="C213" s="354" t="s">
        <v>2517</v>
      </c>
      <c r="D213" s="402"/>
      <c r="E213" s="354">
        <v>220611</v>
      </c>
      <c r="F213" s="353"/>
      <c r="H213" s="353"/>
      <c r="I213" s="353"/>
      <c r="J213" s="353" t="s">
        <v>2632</v>
      </c>
      <c r="K213" s="353" t="s">
        <v>2600</v>
      </c>
      <c r="L213" s="353" t="s">
        <v>2600</v>
      </c>
      <c r="M213" s="353" t="s">
        <v>2602</v>
      </c>
      <c r="N213" s="353"/>
      <c r="O213" s="353"/>
      <c r="Q213" s="353"/>
      <c r="R213" s="356"/>
      <c r="S213" s="357"/>
      <c r="T213" s="376"/>
      <c r="U213" s="358"/>
      <c r="W213" s="353"/>
      <c r="X213" s="457"/>
      <c r="Y213" s="457"/>
      <c r="Z213" s="457"/>
    </row>
    <row r="214" spans="1:26" s="67" customFormat="1" ht="14.25" customHeight="1">
      <c r="A214" s="357" t="s">
        <v>2627</v>
      </c>
      <c r="B214" s="354" t="s">
        <v>401</v>
      </c>
      <c r="C214" s="354" t="s">
        <v>854</v>
      </c>
      <c r="D214" s="402" t="s">
        <v>2689</v>
      </c>
      <c r="E214" s="353" t="s">
        <v>1350</v>
      </c>
      <c r="F214" s="353" t="s">
        <v>1665</v>
      </c>
      <c r="G214" s="353" t="s">
        <v>1830</v>
      </c>
      <c r="H214" s="353"/>
      <c r="I214" s="353"/>
      <c r="J214" s="353" t="s">
        <v>793</v>
      </c>
      <c r="K214" s="354" t="s">
        <v>793</v>
      </c>
      <c r="L214" s="354" t="s">
        <v>816</v>
      </c>
      <c r="M214" s="353" t="s">
        <v>293</v>
      </c>
      <c r="N214" s="353">
        <v>20.173468</v>
      </c>
      <c r="O214" s="353">
        <v>93.067891000000003</v>
      </c>
      <c r="P214" s="353" t="s">
        <v>794</v>
      </c>
      <c r="Q214" s="353"/>
      <c r="R214" s="356"/>
      <c r="S214" s="357"/>
      <c r="T214" s="376"/>
      <c r="U214" s="358" t="s">
        <v>855</v>
      </c>
      <c r="V214" s="353" t="s">
        <v>856</v>
      </c>
      <c r="W214" s="353"/>
      <c r="X214" s="457"/>
      <c r="Y214" s="457"/>
      <c r="Z214" s="457"/>
    </row>
    <row r="215" spans="1:26" s="67" customFormat="1" ht="14.25" customHeight="1">
      <c r="A215" s="360" t="s">
        <v>2627</v>
      </c>
      <c r="B215" s="360" t="s">
        <v>401</v>
      </c>
      <c r="C215" s="361" t="s">
        <v>2752</v>
      </c>
      <c r="D215" s="355"/>
      <c r="E215" s="353" t="s">
        <v>2774</v>
      </c>
      <c r="F215" s="353"/>
      <c r="G215" s="353"/>
      <c r="H215" s="353"/>
      <c r="I215" s="353"/>
      <c r="J215" s="67" t="s">
        <v>2632</v>
      </c>
      <c r="K215" s="353" t="s">
        <v>2600</v>
      </c>
      <c r="L215" s="353" t="s">
        <v>2600</v>
      </c>
      <c r="R215" s="364"/>
      <c r="S215" s="357"/>
      <c r="T215" s="91">
        <v>43591</v>
      </c>
      <c r="U215" s="364"/>
      <c r="W215" s="356"/>
      <c r="X215" s="457"/>
      <c r="Y215" s="457"/>
      <c r="Z215" s="457"/>
    </row>
    <row r="216" spans="1:26" s="67" customFormat="1" ht="14.25" customHeight="1">
      <c r="A216" s="357" t="s">
        <v>2627</v>
      </c>
      <c r="B216" s="354" t="s">
        <v>401</v>
      </c>
      <c r="C216" s="354" t="s">
        <v>817</v>
      </c>
      <c r="D216" s="402" t="s">
        <v>1635</v>
      </c>
      <c r="E216" s="67">
        <v>197486</v>
      </c>
      <c r="F216" s="353"/>
      <c r="J216" s="67" t="s">
        <v>793</v>
      </c>
      <c r="K216" s="354" t="s">
        <v>793</v>
      </c>
      <c r="L216" s="354" t="s">
        <v>793</v>
      </c>
      <c r="M216" s="67" t="s">
        <v>818</v>
      </c>
      <c r="N216" s="67">
        <v>20.05117035</v>
      </c>
      <c r="O216" s="67">
        <v>93.040992739999993</v>
      </c>
      <c r="P216" s="67" t="s">
        <v>794</v>
      </c>
      <c r="R216" s="85"/>
      <c r="S216" s="357"/>
      <c r="T216" s="91"/>
      <c r="U216" s="358"/>
      <c r="V216" s="67" t="s">
        <v>817</v>
      </c>
      <c r="W216" s="353"/>
      <c r="X216" s="457"/>
      <c r="Y216" s="457"/>
      <c r="Z216" s="457"/>
    </row>
    <row r="217" spans="1:26" s="67" customFormat="1" ht="14.25" customHeight="1">
      <c r="A217" s="357" t="s">
        <v>2627</v>
      </c>
      <c r="B217" s="354" t="s">
        <v>401</v>
      </c>
      <c r="C217" s="354" t="s">
        <v>819</v>
      </c>
      <c r="D217" s="402" t="s">
        <v>1635</v>
      </c>
      <c r="E217" s="67">
        <v>197479</v>
      </c>
      <c r="F217" s="359"/>
      <c r="J217" s="67" t="s">
        <v>793</v>
      </c>
      <c r="K217" s="354" t="s">
        <v>793</v>
      </c>
      <c r="L217" s="354" t="s">
        <v>793</v>
      </c>
      <c r="M217" s="67" t="s">
        <v>293</v>
      </c>
      <c r="N217" s="67">
        <v>20.05978966</v>
      </c>
      <c r="O217" s="67">
        <v>93.034988400000003</v>
      </c>
      <c r="P217" s="67" t="s">
        <v>794</v>
      </c>
      <c r="R217" s="85"/>
      <c r="S217" s="357"/>
      <c r="T217" s="91"/>
      <c r="U217" s="87"/>
      <c r="V217" s="67" t="s">
        <v>819</v>
      </c>
      <c r="W217" s="353"/>
      <c r="X217" s="457"/>
      <c r="Y217" s="457"/>
      <c r="Z217" s="457"/>
    </row>
    <row r="218" spans="1:26" s="67" customFormat="1" ht="14.25" customHeight="1">
      <c r="A218" s="360" t="s">
        <v>2627</v>
      </c>
      <c r="B218" s="360" t="s">
        <v>401</v>
      </c>
      <c r="C218" s="361" t="s">
        <v>2751</v>
      </c>
      <c r="D218" s="355"/>
      <c r="E218" s="67">
        <v>197470</v>
      </c>
      <c r="J218" s="67" t="s">
        <v>2632</v>
      </c>
      <c r="K218" s="353" t="s">
        <v>2600</v>
      </c>
      <c r="L218" s="353" t="s">
        <v>2600</v>
      </c>
      <c r="N218" s="67">
        <v>20.343349456787099</v>
      </c>
      <c r="O218" s="67">
        <v>93.121322631835895</v>
      </c>
      <c r="P218" s="353"/>
      <c r="R218" s="364"/>
      <c r="S218" s="357"/>
      <c r="T218" s="91">
        <v>43591</v>
      </c>
      <c r="U218" s="364"/>
      <c r="W218" s="356"/>
      <c r="X218" s="457"/>
      <c r="Y218" s="457"/>
      <c r="Z218" s="457"/>
    </row>
    <row r="219" spans="1:26" s="67" customFormat="1" ht="14.25" customHeight="1">
      <c r="A219" s="357" t="s">
        <v>2627</v>
      </c>
      <c r="B219" s="354" t="s">
        <v>401</v>
      </c>
      <c r="C219" s="354" t="s">
        <v>2508</v>
      </c>
      <c r="D219" s="402"/>
      <c r="E219" s="67">
        <v>197561</v>
      </c>
      <c r="F219" s="67" t="s">
        <v>2508</v>
      </c>
      <c r="J219" s="67" t="s">
        <v>793</v>
      </c>
      <c r="K219" s="353" t="s">
        <v>793</v>
      </c>
      <c r="L219" s="353" t="s">
        <v>793</v>
      </c>
      <c r="N219" s="67">
        <v>20.072999954223601</v>
      </c>
      <c r="O219" s="353">
        <v>92.924957275390597</v>
      </c>
      <c r="R219" s="360"/>
      <c r="S219" s="361"/>
      <c r="T219" s="91"/>
      <c r="U219" s="87"/>
      <c r="W219" s="353"/>
      <c r="X219" s="457"/>
      <c r="Y219" s="457"/>
      <c r="Z219" s="457"/>
    </row>
    <row r="220" spans="1:26" s="67" customFormat="1" ht="14.25" customHeight="1">
      <c r="A220" s="357" t="s">
        <v>2627</v>
      </c>
      <c r="B220" s="354" t="s">
        <v>401</v>
      </c>
      <c r="C220" s="354" t="s">
        <v>2539</v>
      </c>
      <c r="D220" s="402" t="s">
        <v>1635</v>
      </c>
      <c r="E220" s="67">
        <v>197461</v>
      </c>
      <c r="J220" s="67" t="s">
        <v>793</v>
      </c>
      <c r="K220" s="67" t="s">
        <v>793</v>
      </c>
      <c r="L220" s="163" t="s">
        <v>793</v>
      </c>
      <c r="M220" s="67" t="s">
        <v>293</v>
      </c>
      <c r="R220" s="360"/>
      <c r="S220" s="361"/>
      <c r="T220" s="91"/>
      <c r="U220" s="87"/>
      <c r="W220" s="353"/>
      <c r="X220" s="457"/>
      <c r="Y220" s="457"/>
      <c r="Z220" s="457"/>
    </row>
    <row r="221" spans="1:26" s="67" customFormat="1" ht="14.25" customHeight="1">
      <c r="A221" s="357" t="s">
        <v>2627</v>
      </c>
      <c r="B221" s="354" t="s">
        <v>401</v>
      </c>
      <c r="C221" s="354" t="s">
        <v>2531</v>
      </c>
      <c r="D221" s="402" t="s">
        <v>1635</v>
      </c>
      <c r="E221" s="67">
        <v>197441</v>
      </c>
      <c r="F221" s="353"/>
      <c r="J221" s="67" t="s">
        <v>793</v>
      </c>
      <c r="K221" s="67" t="s">
        <v>793</v>
      </c>
      <c r="L221" s="163" t="s">
        <v>793</v>
      </c>
      <c r="M221" s="67" t="s">
        <v>293</v>
      </c>
      <c r="O221" s="353"/>
      <c r="R221" s="356"/>
      <c r="S221" s="357"/>
      <c r="T221" s="91"/>
      <c r="U221" s="87"/>
      <c r="W221" s="353"/>
      <c r="X221" s="457"/>
      <c r="Y221" s="457"/>
      <c r="Z221" s="457"/>
    </row>
    <row r="222" spans="1:26" s="67" customFormat="1" ht="14.25" customHeight="1">
      <c r="A222" s="357" t="s">
        <v>2627</v>
      </c>
      <c r="B222" s="354" t="s">
        <v>401</v>
      </c>
      <c r="C222" s="354" t="s">
        <v>2516</v>
      </c>
      <c r="D222" s="402"/>
      <c r="E222" s="67">
        <v>197546</v>
      </c>
      <c r="F222" s="353" t="s">
        <v>520</v>
      </c>
      <c r="J222" s="67" t="s">
        <v>793</v>
      </c>
      <c r="K222" s="67" t="s">
        <v>793</v>
      </c>
      <c r="L222" s="67" t="s">
        <v>793</v>
      </c>
      <c r="N222" s="67">
        <v>19.986650466918899</v>
      </c>
      <c r="O222" s="353">
        <v>92.986160278320298</v>
      </c>
      <c r="R222" s="85"/>
      <c r="S222" s="357"/>
      <c r="T222" s="91"/>
      <c r="U222" s="87"/>
      <c r="W222" s="353"/>
      <c r="X222" s="457"/>
      <c r="Y222" s="457"/>
      <c r="Z222" s="457"/>
    </row>
    <row r="223" spans="1:26" s="67" customFormat="1" ht="14.25" customHeight="1">
      <c r="A223" s="357" t="s">
        <v>2627</v>
      </c>
      <c r="B223" s="354" t="s">
        <v>401</v>
      </c>
      <c r="C223" s="354" t="s">
        <v>2513</v>
      </c>
      <c r="D223" s="402"/>
      <c r="F223" s="353"/>
      <c r="I223" s="353"/>
      <c r="J223" s="67" t="s">
        <v>793</v>
      </c>
      <c r="K223" s="67" t="s">
        <v>793</v>
      </c>
      <c r="L223" s="67" t="s">
        <v>793</v>
      </c>
      <c r="R223" s="360"/>
      <c r="S223" s="361"/>
      <c r="T223" s="91"/>
      <c r="U223" s="87"/>
      <c r="W223" s="353"/>
      <c r="X223" s="457"/>
      <c r="Y223" s="457"/>
      <c r="Z223" s="457"/>
    </row>
    <row r="224" spans="1:26" s="67" customFormat="1" ht="14.25" customHeight="1">
      <c r="A224" s="357" t="s">
        <v>2627</v>
      </c>
      <c r="B224" s="354" t="s">
        <v>401</v>
      </c>
      <c r="C224" s="354" t="s">
        <v>531</v>
      </c>
      <c r="D224" s="402" t="s">
        <v>1635</v>
      </c>
      <c r="E224" s="353">
        <v>197537</v>
      </c>
      <c r="F224" s="353" t="s">
        <v>830</v>
      </c>
      <c r="G224" s="353"/>
      <c r="H224" s="353"/>
      <c r="I224" s="353"/>
      <c r="J224" s="67" t="s">
        <v>793</v>
      </c>
      <c r="K224" s="354" t="s">
        <v>793</v>
      </c>
      <c r="L224" s="354" t="s">
        <v>793</v>
      </c>
      <c r="M224" s="353"/>
      <c r="N224" s="353">
        <v>20.109220499999999</v>
      </c>
      <c r="O224" s="353">
        <v>92.995483399999998</v>
      </c>
      <c r="P224" s="67" t="s">
        <v>794</v>
      </c>
      <c r="Q224" s="353"/>
      <c r="R224" s="356"/>
      <c r="S224" s="357"/>
      <c r="T224" s="376"/>
      <c r="U224" s="358"/>
      <c r="V224" s="353" t="s">
        <v>531</v>
      </c>
      <c r="W224" s="353"/>
      <c r="X224" s="457"/>
      <c r="Y224" s="457"/>
      <c r="Z224" s="457"/>
    </row>
    <row r="225" spans="1:26" s="67" customFormat="1" ht="14.25" customHeight="1">
      <c r="A225" s="357" t="s">
        <v>2627</v>
      </c>
      <c r="B225" s="354" t="s">
        <v>401</v>
      </c>
      <c r="C225" s="354" t="s">
        <v>409</v>
      </c>
      <c r="D225" s="402" t="s">
        <v>3088</v>
      </c>
      <c r="E225" s="353" t="s">
        <v>1337</v>
      </c>
      <c r="F225" s="353" t="s">
        <v>830</v>
      </c>
      <c r="G225" s="353" t="s">
        <v>409</v>
      </c>
      <c r="H225" s="353" t="s">
        <v>41</v>
      </c>
      <c r="I225" s="353" t="s">
        <v>408</v>
      </c>
      <c r="J225" s="353" t="s">
        <v>43</v>
      </c>
      <c r="K225" s="354" t="s">
        <v>43</v>
      </c>
      <c r="L225" s="354" t="s">
        <v>789</v>
      </c>
      <c r="M225" s="353" t="s">
        <v>790</v>
      </c>
      <c r="N225" s="353">
        <v>20.090183</v>
      </c>
      <c r="O225" s="353">
        <v>93.010368999999997</v>
      </c>
      <c r="P225" s="353" t="s">
        <v>756</v>
      </c>
      <c r="Q225" s="353" t="s">
        <v>775</v>
      </c>
      <c r="R225" s="461">
        <v>1387</v>
      </c>
      <c r="S225" s="461">
        <v>6674</v>
      </c>
      <c r="T225" s="376"/>
      <c r="U225" s="358"/>
      <c r="V225" s="353" t="s">
        <v>409</v>
      </c>
      <c r="W225" s="353"/>
      <c r="X225" s="457">
        <v>95</v>
      </c>
      <c r="Y225" s="457">
        <v>1102</v>
      </c>
      <c r="Z225" s="457">
        <v>1197</v>
      </c>
    </row>
    <row r="226" spans="1:26" s="67" customFormat="1" ht="14.25" customHeight="1">
      <c r="A226" s="357" t="s">
        <v>2627</v>
      </c>
      <c r="B226" s="354" t="s">
        <v>401</v>
      </c>
      <c r="C226" s="354" t="s">
        <v>2773</v>
      </c>
      <c r="D226" s="402"/>
      <c r="E226" s="67">
        <v>197547</v>
      </c>
      <c r="F226" s="353"/>
      <c r="J226" s="67" t="s">
        <v>793</v>
      </c>
      <c r="K226" s="67" t="s">
        <v>793</v>
      </c>
      <c r="L226" s="67" t="s">
        <v>793</v>
      </c>
      <c r="N226" s="67">
        <v>19.9233303070068</v>
      </c>
      <c r="O226" s="67">
        <v>93.018592834472699</v>
      </c>
      <c r="R226" s="360"/>
      <c r="S226" s="361"/>
      <c r="T226" s="91"/>
      <c r="U226" s="87"/>
      <c r="V226" s="354" t="s">
        <v>2515</v>
      </c>
      <c r="W226" s="353"/>
      <c r="X226" s="457"/>
      <c r="Y226" s="457"/>
      <c r="Z226" s="457"/>
    </row>
    <row r="227" spans="1:26" s="67" customFormat="1" ht="14.25" customHeight="1">
      <c r="A227" s="357" t="s">
        <v>2627</v>
      </c>
      <c r="B227" s="354" t="s">
        <v>401</v>
      </c>
      <c r="C227" s="354" t="s">
        <v>805</v>
      </c>
      <c r="D227" s="402" t="s">
        <v>1635</v>
      </c>
      <c r="E227" s="67">
        <v>197566</v>
      </c>
      <c r="F227" s="353"/>
      <c r="J227" s="67" t="s">
        <v>793</v>
      </c>
      <c r="K227" s="67" t="s">
        <v>793</v>
      </c>
      <c r="L227" s="354" t="s">
        <v>793</v>
      </c>
      <c r="N227" s="67">
        <v>19.94882965</v>
      </c>
      <c r="O227" s="67">
        <v>92.978782649999999</v>
      </c>
      <c r="P227" s="67" t="s">
        <v>794</v>
      </c>
      <c r="R227" s="85"/>
      <c r="S227" s="357"/>
      <c r="T227" s="91"/>
      <c r="U227" s="87"/>
      <c r="V227" s="67" t="s">
        <v>805</v>
      </c>
      <c r="W227" s="353"/>
      <c r="X227" s="457"/>
      <c r="Y227" s="457"/>
      <c r="Z227" s="457"/>
    </row>
    <row r="228" spans="1:26" s="67" customFormat="1" ht="14.25" customHeight="1">
      <c r="A228" s="357" t="s">
        <v>2627</v>
      </c>
      <c r="B228" s="354" t="s">
        <v>401</v>
      </c>
      <c r="C228" s="354" t="s">
        <v>2530</v>
      </c>
      <c r="D228" s="355" t="s">
        <v>1635</v>
      </c>
      <c r="E228" s="67">
        <v>197450</v>
      </c>
      <c r="J228" s="67" t="s">
        <v>793</v>
      </c>
      <c r="K228" s="67" t="s">
        <v>793</v>
      </c>
      <c r="L228" s="163" t="s">
        <v>793</v>
      </c>
      <c r="M228" s="67" t="s">
        <v>293</v>
      </c>
      <c r="R228" s="354"/>
      <c r="S228" s="466"/>
      <c r="T228" s="91"/>
      <c r="U228" s="87"/>
      <c r="W228" s="353"/>
      <c r="X228" s="457"/>
      <c r="Y228" s="457"/>
      <c r="Z228" s="457"/>
    </row>
    <row r="229" spans="1:26" s="67" customFormat="1" ht="14.25" customHeight="1">
      <c r="A229" s="357" t="s">
        <v>2627</v>
      </c>
      <c r="B229" s="354" t="s">
        <v>401</v>
      </c>
      <c r="C229" s="354" t="s">
        <v>2540</v>
      </c>
      <c r="D229" s="402" t="s">
        <v>1635</v>
      </c>
      <c r="E229" s="67">
        <v>197463</v>
      </c>
      <c r="J229" s="67" t="s">
        <v>793</v>
      </c>
      <c r="K229" s="67" t="s">
        <v>793</v>
      </c>
      <c r="L229" s="163" t="s">
        <v>793</v>
      </c>
      <c r="M229" s="67" t="s">
        <v>293</v>
      </c>
      <c r="R229" s="85"/>
      <c r="S229" s="86"/>
      <c r="T229" s="91"/>
      <c r="U229" s="87"/>
      <c r="W229" s="353"/>
      <c r="X229" s="457"/>
      <c r="Y229" s="457"/>
      <c r="Z229" s="457"/>
    </row>
    <row r="230" spans="1:26" s="67" customFormat="1" ht="14.25" customHeight="1">
      <c r="A230" s="357" t="s">
        <v>2627</v>
      </c>
      <c r="B230" s="354" t="s">
        <v>401</v>
      </c>
      <c r="C230" s="354" t="s">
        <v>2511</v>
      </c>
      <c r="D230" s="402"/>
      <c r="E230" s="67">
        <v>197565</v>
      </c>
      <c r="F230" s="67" t="s">
        <v>2508</v>
      </c>
      <c r="J230" s="67" t="s">
        <v>793</v>
      </c>
      <c r="K230" s="67" t="s">
        <v>793</v>
      </c>
      <c r="L230" s="67" t="s">
        <v>793</v>
      </c>
      <c r="N230" s="67">
        <v>20.005199432373001</v>
      </c>
      <c r="O230" s="67">
        <v>92.948463439941406</v>
      </c>
      <c r="R230" s="360"/>
      <c r="S230" s="361"/>
      <c r="T230" s="91"/>
      <c r="U230" s="87"/>
      <c r="W230" s="353"/>
      <c r="X230" s="457"/>
      <c r="Y230" s="457"/>
      <c r="Z230" s="457"/>
    </row>
    <row r="231" spans="1:26" s="67" customFormat="1" ht="14.25" customHeight="1">
      <c r="A231" s="357" t="s">
        <v>2627</v>
      </c>
      <c r="B231" s="354" t="s">
        <v>401</v>
      </c>
      <c r="C231" s="354" t="s">
        <v>2534</v>
      </c>
      <c r="D231" s="402" t="s">
        <v>1635</v>
      </c>
      <c r="E231" s="67">
        <v>197404</v>
      </c>
      <c r="I231" s="353"/>
      <c r="J231" s="67" t="s">
        <v>793</v>
      </c>
      <c r="K231" s="67" t="s">
        <v>793</v>
      </c>
      <c r="L231" s="163" t="s">
        <v>793</v>
      </c>
      <c r="M231" s="67" t="s">
        <v>293</v>
      </c>
      <c r="P231" s="353"/>
      <c r="R231" s="85"/>
      <c r="S231" s="357"/>
      <c r="T231" s="91"/>
      <c r="U231" s="87"/>
      <c r="W231" s="353"/>
      <c r="X231" s="457"/>
      <c r="Y231" s="457"/>
      <c r="Z231" s="457"/>
    </row>
    <row r="232" spans="1:26" s="67" customFormat="1" ht="14.25" customHeight="1">
      <c r="A232" s="357" t="s">
        <v>2627</v>
      </c>
      <c r="B232" s="354" t="s">
        <v>401</v>
      </c>
      <c r="C232" s="354" t="s">
        <v>2538</v>
      </c>
      <c r="D232" s="402" t="s">
        <v>1635</v>
      </c>
      <c r="E232" s="67">
        <v>197464</v>
      </c>
      <c r="J232" s="67" t="s">
        <v>793</v>
      </c>
      <c r="K232" s="67" t="s">
        <v>793</v>
      </c>
      <c r="L232" s="163" t="s">
        <v>793</v>
      </c>
      <c r="M232" s="67" t="s">
        <v>293</v>
      </c>
      <c r="R232" s="85"/>
      <c r="S232" s="357"/>
      <c r="T232" s="91"/>
      <c r="U232" s="87"/>
      <c r="W232" s="353"/>
      <c r="X232" s="457"/>
      <c r="Y232" s="457"/>
      <c r="Z232" s="457"/>
    </row>
    <row r="233" spans="1:26" s="67" customFormat="1" ht="14.25" customHeight="1">
      <c r="A233" s="357" t="s">
        <v>2627</v>
      </c>
      <c r="B233" s="360" t="s">
        <v>401</v>
      </c>
      <c r="C233" s="361" t="s">
        <v>826</v>
      </c>
      <c r="D233" s="355" t="s">
        <v>1635</v>
      </c>
      <c r="E233" s="67" t="s">
        <v>1336</v>
      </c>
      <c r="F233" s="379"/>
      <c r="J233" s="67" t="s">
        <v>43</v>
      </c>
      <c r="K233" s="354" t="s">
        <v>43</v>
      </c>
      <c r="L233" s="354" t="s">
        <v>755</v>
      </c>
      <c r="M233" s="67" t="s">
        <v>790</v>
      </c>
      <c r="N233" s="67">
        <v>20.073437999999999</v>
      </c>
      <c r="O233" s="67">
        <v>93.154551999999995</v>
      </c>
      <c r="P233" s="67" t="s">
        <v>756</v>
      </c>
      <c r="R233" s="364"/>
      <c r="S233" s="357"/>
      <c r="T233" s="91"/>
      <c r="U233" s="87"/>
      <c r="W233" s="353"/>
      <c r="X233" s="457"/>
      <c r="Y233" s="457"/>
      <c r="Z233" s="457"/>
    </row>
    <row r="234" spans="1:26" s="67" customFormat="1" ht="14.25" customHeight="1">
      <c r="A234" s="357" t="s">
        <v>2627</v>
      </c>
      <c r="B234" s="354" t="s">
        <v>401</v>
      </c>
      <c r="C234" s="354" t="s">
        <v>405</v>
      </c>
      <c r="D234" s="402" t="s">
        <v>3088</v>
      </c>
      <c r="E234" s="67" t="s">
        <v>1336</v>
      </c>
      <c r="F234" s="354" t="s">
        <v>1718</v>
      </c>
      <c r="G234" s="67" t="s">
        <v>1719</v>
      </c>
      <c r="H234" s="67" t="s">
        <v>41</v>
      </c>
      <c r="I234" s="457" t="s">
        <v>2952</v>
      </c>
      <c r="J234" s="67" t="s">
        <v>43</v>
      </c>
      <c r="K234" s="354" t="s">
        <v>43</v>
      </c>
      <c r="L234" s="354" t="s">
        <v>1854</v>
      </c>
      <c r="M234" s="67" t="s">
        <v>790</v>
      </c>
      <c r="N234" s="67">
        <v>20.073437999999999</v>
      </c>
      <c r="O234" s="67">
        <v>93.154551999999995</v>
      </c>
      <c r="P234" s="353" t="s">
        <v>794</v>
      </c>
      <c r="Q234" s="67" t="s">
        <v>775</v>
      </c>
      <c r="R234" s="461">
        <v>1059</v>
      </c>
      <c r="S234" s="461">
        <v>5004</v>
      </c>
      <c r="T234" s="91"/>
      <c r="U234" s="87"/>
      <c r="V234" s="67" t="s">
        <v>405</v>
      </c>
      <c r="W234" s="353"/>
      <c r="X234" s="457">
        <v>159</v>
      </c>
      <c r="Y234" s="457">
        <v>923</v>
      </c>
      <c r="Z234" s="457">
        <v>1082</v>
      </c>
    </row>
    <row r="235" spans="1:26" s="67" customFormat="1" ht="14.25" customHeight="1">
      <c r="A235" s="357" t="s">
        <v>2627</v>
      </c>
      <c r="B235" s="354" t="s">
        <v>401</v>
      </c>
      <c r="C235" s="354" t="s">
        <v>406</v>
      </c>
      <c r="D235" s="402" t="s">
        <v>3088</v>
      </c>
      <c r="E235" s="67" t="s">
        <v>1336</v>
      </c>
      <c r="F235" s="67" t="s">
        <v>1718</v>
      </c>
      <c r="G235" s="67" t="s">
        <v>1719</v>
      </c>
      <c r="H235" s="67" t="s">
        <v>41</v>
      </c>
      <c r="I235" s="457" t="s">
        <v>2952</v>
      </c>
      <c r="J235" s="67" t="s">
        <v>43</v>
      </c>
      <c r="K235" s="354" t="s">
        <v>43</v>
      </c>
      <c r="L235" s="354" t="s">
        <v>789</v>
      </c>
      <c r="M235" s="67" t="s">
        <v>790</v>
      </c>
      <c r="N235" s="67">
        <v>20.073437999999999</v>
      </c>
      <c r="O235" s="354">
        <v>93.154551999999995</v>
      </c>
      <c r="P235" s="353" t="s">
        <v>756</v>
      </c>
      <c r="Q235" s="67" t="s">
        <v>775</v>
      </c>
      <c r="R235" s="461">
        <v>982</v>
      </c>
      <c r="S235" s="461">
        <v>4828</v>
      </c>
      <c r="T235" s="91"/>
      <c r="U235" s="87"/>
      <c r="V235" s="67" t="s">
        <v>406</v>
      </c>
      <c r="W235" s="353"/>
      <c r="X235" s="457">
        <v>116</v>
      </c>
      <c r="Y235" s="457">
        <v>693</v>
      </c>
      <c r="Z235" s="457">
        <v>809</v>
      </c>
    </row>
    <row r="236" spans="1:26" s="67" customFormat="1" ht="14.25" customHeight="1">
      <c r="A236" s="357" t="s">
        <v>2627</v>
      </c>
      <c r="B236" s="354" t="s">
        <v>401</v>
      </c>
      <c r="C236" s="354" t="s">
        <v>2537</v>
      </c>
      <c r="D236" s="402" t="s">
        <v>1635</v>
      </c>
      <c r="E236" s="67">
        <v>197460</v>
      </c>
      <c r="J236" s="67" t="s">
        <v>793</v>
      </c>
      <c r="K236" s="67" t="s">
        <v>793</v>
      </c>
      <c r="L236" s="163" t="s">
        <v>793</v>
      </c>
      <c r="M236" s="67" t="s">
        <v>293</v>
      </c>
      <c r="R236" s="356"/>
      <c r="S236" s="357"/>
      <c r="T236" s="91"/>
      <c r="U236" s="87"/>
      <c r="W236" s="353"/>
      <c r="X236" s="457"/>
      <c r="Y236" s="457"/>
      <c r="Z236" s="457"/>
    </row>
    <row r="237" spans="1:26" s="67" customFormat="1" ht="14.25" customHeight="1">
      <c r="A237" s="357" t="s">
        <v>2627</v>
      </c>
      <c r="B237" s="354" t="s">
        <v>401</v>
      </c>
      <c r="C237" s="354" t="s">
        <v>2528</v>
      </c>
      <c r="D237" s="402" t="s">
        <v>1635</v>
      </c>
      <c r="E237" s="67">
        <v>197449</v>
      </c>
      <c r="J237" s="67" t="s">
        <v>793</v>
      </c>
      <c r="K237" s="67" t="s">
        <v>793</v>
      </c>
      <c r="L237" s="163" t="s">
        <v>793</v>
      </c>
      <c r="M237" s="67" t="s">
        <v>293</v>
      </c>
      <c r="N237" s="353"/>
      <c r="R237" s="360"/>
      <c r="S237" s="361"/>
      <c r="T237" s="91"/>
      <c r="U237" s="87"/>
      <c r="W237" s="353"/>
      <c r="X237" s="457"/>
      <c r="Y237" s="457"/>
      <c r="Z237" s="457"/>
    </row>
    <row r="238" spans="1:26" s="67" customFormat="1" ht="14.25" customHeight="1">
      <c r="A238" s="357" t="s">
        <v>2627</v>
      </c>
      <c r="B238" s="354" t="s">
        <v>401</v>
      </c>
      <c r="C238" s="354" t="s">
        <v>830</v>
      </c>
      <c r="D238" s="402" t="s">
        <v>1635</v>
      </c>
      <c r="E238" s="67">
        <v>197531</v>
      </c>
      <c r="F238" s="67" t="s">
        <v>830</v>
      </c>
      <c r="J238" s="67" t="s">
        <v>793</v>
      </c>
      <c r="K238" s="354" t="s">
        <v>793</v>
      </c>
      <c r="L238" s="354" t="s">
        <v>793</v>
      </c>
      <c r="N238" s="67">
        <v>20.10293961</v>
      </c>
      <c r="O238" s="67">
        <v>93.000679020000007</v>
      </c>
      <c r="P238" s="67" t="s">
        <v>794</v>
      </c>
      <c r="R238" s="356"/>
      <c r="S238" s="357"/>
      <c r="T238" s="91"/>
      <c r="U238" s="87"/>
      <c r="V238" s="67" t="s">
        <v>831</v>
      </c>
      <c r="W238" s="353"/>
      <c r="X238" s="457"/>
      <c r="Y238" s="457"/>
      <c r="Z238" s="457"/>
    </row>
    <row r="239" spans="1:26" s="67" customFormat="1" ht="14.25" customHeight="1">
      <c r="A239" s="357" t="s">
        <v>2627</v>
      </c>
      <c r="B239" s="354" t="s">
        <v>401</v>
      </c>
      <c r="C239" s="354" t="s">
        <v>823</v>
      </c>
      <c r="D239" s="402" t="s">
        <v>1635</v>
      </c>
      <c r="E239" s="67">
        <v>197430</v>
      </c>
      <c r="F239" s="354"/>
      <c r="J239" s="67" t="s">
        <v>793</v>
      </c>
      <c r="K239" s="354" t="s">
        <v>793</v>
      </c>
      <c r="L239" s="354" t="s">
        <v>793</v>
      </c>
      <c r="M239" s="67" t="s">
        <v>293</v>
      </c>
      <c r="N239" s="67">
        <v>20.065919000000001</v>
      </c>
      <c r="O239" s="67">
        <v>93.004040000000003</v>
      </c>
      <c r="P239" s="67" t="s">
        <v>794</v>
      </c>
      <c r="R239" s="356"/>
      <c r="S239" s="357"/>
      <c r="T239" s="91"/>
      <c r="U239" s="87"/>
      <c r="V239" s="67" t="s">
        <v>823</v>
      </c>
      <c r="W239" s="353"/>
      <c r="X239" s="457"/>
      <c r="Y239" s="457"/>
      <c r="Z239" s="457"/>
    </row>
    <row r="240" spans="1:26" s="67" customFormat="1" ht="14.25" customHeight="1">
      <c r="A240" s="357" t="s">
        <v>2627</v>
      </c>
      <c r="B240" s="354" t="s">
        <v>401</v>
      </c>
      <c r="C240" s="354" t="s">
        <v>2618</v>
      </c>
      <c r="D240" s="402" t="s">
        <v>1635</v>
      </c>
      <c r="E240" s="353">
        <v>197462</v>
      </c>
      <c r="J240" s="67" t="s">
        <v>793</v>
      </c>
      <c r="K240" s="67" t="s">
        <v>793</v>
      </c>
      <c r="L240" s="163" t="s">
        <v>793</v>
      </c>
      <c r="M240" s="67" t="s">
        <v>293</v>
      </c>
      <c r="R240" s="360"/>
      <c r="S240" s="361"/>
      <c r="T240" s="91"/>
      <c r="U240" s="87"/>
      <c r="W240" s="353"/>
      <c r="X240" s="457"/>
      <c r="Y240" s="457"/>
      <c r="Z240" s="457"/>
    </row>
    <row r="241" spans="1:26" s="67" customFormat="1" ht="14.25" customHeight="1">
      <c r="A241" s="357" t="s">
        <v>2627</v>
      </c>
      <c r="B241" s="354" t="s">
        <v>401</v>
      </c>
      <c r="C241" s="354" t="s">
        <v>2532</v>
      </c>
      <c r="D241" s="355" t="s">
        <v>1635</v>
      </c>
      <c r="E241" s="67">
        <v>197442</v>
      </c>
      <c r="J241" s="67" t="s">
        <v>793</v>
      </c>
      <c r="K241" s="67" t="s">
        <v>793</v>
      </c>
      <c r="L241" s="163" t="s">
        <v>793</v>
      </c>
      <c r="M241" s="67" t="s">
        <v>2617</v>
      </c>
      <c r="R241" s="354"/>
      <c r="S241" s="466"/>
      <c r="T241" s="91"/>
      <c r="U241" s="87"/>
      <c r="W241" s="353"/>
      <c r="X241" s="457"/>
      <c r="Y241" s="457"/>
      <c r="Z241" s="457"/>
    </row>
    <row r="242" spans="1:26" s="67" customFormat="1" ht="14.25" customHeight="1">
      <c r="A242" s="357" t="s">
        <v>2627</v>
      </c>
      <c r="B242" s="354" t="s">
        <v>401</v>
      </c>
      <c r="C242" s="354" t="s">
        <v>2533</v>
      </c>
      <c r="D242" s="402" t="s">
        <v>1635</v>
      </c>
      <c r="E242" s="67">
        <v>197405</v>
      </c>
      <c r="J242" s="67" t="s">
        <v>793</v>
      </c>
      <c r="K242" s="67" t="s">
        <v>793</v>
      </c>
      <c r="L242" s="163" t="s">
        <v>793</v>
      </c>
      <c r="M242" s="67" t="s">
        <v>293</v>
      </c>
      <c r="R242" s="356"/>
      <c r="S242" s="357"/>
      <c r="T242" s="91"/>
      <c r="U242" s="87"/>
      <c r="W242" s="353"/>
      <c r="X242" s="457"/>
      <c r="Y242" s="457"/>
      <c r="Z242" s="457"/>
    </row>
    <row r="243" spans="1:26" s="67" customFormat="1" ht="14.25" customHeight="1">
      <c r="A243" s="357" t="s">
        <v>2627</v>
      </c>
      <c r="B243" s="354" t="s">
        <v>401</v>
      </c>
      <c r="C243" s="354" t="s">
        <v>407</v>
      </c>
      <c r="D243" s="355" t="s">
        <v>1635</v>
      </c>
      <c r="E243" s="363">
        <v>197557</v>
      </c>
      <c r="F243" s="386"/>
      <c r="G243" s="363"/>
      <c r="H243" s="363"/>
      <c r="I243" s="363"/>
      <c r="J243" s="67" t="s">
        <v>793</v>
      </c>
      <c r="K243" s="354" t="s">
        <v>793</v>
      </c>
      <c r="L243" s="354" t="s">
        <v>793</v>
      </c>
      <c r="M243" s="67" t="s">
        <v>293</v>
      </c>
      <c r="N243" s="353">
        <v>20.0839</v>
      </c>
      <c r="O243" s="353">
        <v>92.993799999999993</v>
      </c>
      <c r="P243" s="353" t="s">
        <v>794</v>
      </c>
      <c r="Q243" s="67" t="s">
        <v>775</v>
      </c>
      <c r="R243" s="354"/>
      <c r="S243" s="466"/>
      <c r="T243" s="91"/>
      <c r="U243" s="358"/>
      <c r="V243" s="353" t="s">
        <v>407</v>
      </c>
      <c r="W243" s="353"/>
      <c r="X243" s="457"/>
      <c r="Y243" s="457"/>
      <c r="Z243" s="457"/>
    </row>
    <row r="244" spans="1:26" s="67" customFormat="1" ht="14.25" customHeight="1">
      <c r="A244" s="357" t="s">
        <v>2627</v>
      </c>
      <c r="B244" s="354" t="s">
        <v>401</v>
      </c>
      <c r="C244" s="354" t="s">
        <v>404</v>
      </c>
      <c r="D244" s="402" t="s">
        <v>3088</v>
      </c>
      <c r="E244" s="67" t="s">
        <v>1334</v>
      </c>
      <c r="F244" s="67" t="s">
        <v>404</v>
      </c>
      <c r="G244" s="67" t="s">
        <v>1664</v>
      </c>
      <c r="H244" s="67" t="s">
        <v>41</v>
      </c>
      <c r="I244" s="67" t="s">
        <v>408</v>
      </c>
      <c r="J244" s="67" t="s">
        <v>43</v>
      </c>
      <c r="K244" s="354" t="s">
        <v>43</v>
      </c>
      <c r="L244" s="354" t="s">
        <v>789</v>
      </c>
      <c r="M244" s="67" t="s">
        <v>790</v>
      </c>
      <c r="N244" s="67">
        <v>20.064226000000001</v>
      </c>
      <c r="O244" s="67">
        <v>92.993758999999997</v>
      </c>
      <c r="P244" s="353" t="s">
        <v>756</v>
      </c>
      <c r="Q244" s="67" t="s">
        <v>775</v>
      </c>
      <c r="R244" s="461">
        <v>682</v>
      </c>
      <c r="S244" s="461">
        <v>2588</v>
      </c>
      <c r="T244" s="91"/>
      <c r="U244" s="87"/>
      <c r="V244" s="67" t="s">
        <v>404</v>
      </c>
      <c r="W244" s="353"/>
      <c r="X244" s="457">
        <v>159</v>
      </c>
      <c r="Y244" s="457">
        <v>361</v>
      </c>
      <c r="Z244" s="457">
        <v>520</v>
      </c>
    </row>
    <row r="245" spans="1:26" s="67" customFormat="1" ht="14.25" customHeight="1">
      <c r="A245" s="357" t="s">
        <v>2627</v>
      </c>
      <c r="B245" s="157" t="s">
        <v>401</v>
      </c>
      <c r="C245" s="157" t="s">
        <v>821</v>
      </c>
      <c r="D245" s="355" t="s">
        <v>1636</v>
      </c>
      <c r="E245" s="153" t="s">
        <v>1335</v>
      </c>
      <c r="F245" s="153" t="s">
        <v>404</v>
      </c>
      <c r="G245" s="153" t="s">
        <v>1664</v>
      </c>
      <c r="H245" s="153"/>
      <c r="I245" s="153"/>
      <c r="J245" s="67" t="s">
        <v>43</v>
      </c>
      <c r="K245" s="354" t="s">
        <v>43</v>
      </c>
      <c r="L245" s="354" t="s">
        <v>755</v>
      </c>
      <c r="M245" s="153" t="s">
        <v>790</v>
      </c>
      <c r="N245" s="153">
        <v>20.064226000000001</v>
      </c>
      <c r="O245" s="153">
        <v>92.993758999999997</v>
      </c>
      <c r="P245" s="67" t="s">
        <v>756</v>
      </c>
      <c r="Q245" s="153"/>
      <c r="R245" s="154"/>
      <c r="S245" s="152"/>
      <c r="T245" s="155"/>
      <c r="U245" s="156"/>
      <c r="V245" s="153" t="s">
        <v>822</v>
      </c>
      <c r="W245" s="353"/>
      <c r="X245" s="457"/>
      <c r="Y245" s="457"/>
      <c r="Z245" s="457"/>
    </row>
    <row r="246" spans="1:26" s="67" customFormat="1" ht="14.25" customHeight="1">
      <c r="A246" s="357" t="s">
        <v>2627</v>
      </c>
      <c r="B246" s="354" t="s">
        <v>401</v>
      </c>
      <c r="C246" s="354" t="s">
        <v>403</v>
      </c>
      <c r="D246" s="402" t="s">
        <v>1635</v>
      </c>
      <c r="E246" s="353">
        <v>197548</v>
      </c>
      <c r="F246" s="353"/>
      <c r="G246" s="353"/>
      <c r="H246" s="353"/>
      <c r="I246" s="353"/>
      <c r="J246" s="67" t="s">
        <v>793</v>
      </c>
      <c r="K246" s="354" t="s">
        <v>793</v>
      </c>
      <c r="L246" s="354" t="s">
        <v>793</v>
      </c>
      <c r="M246" s="67" t="s">
        <v>790</v>
      </c>
      <c r="N246" s="353">
        <v>20.0641</v>
      </c>
      <c r="O246" s="354">
        <v>92.994600000000005</v>
      </c>
      <c r="P246" s="353" t="s">
        <v>794</v>
      </c>
      <c r="Q246" s="67" t="s">
        <v>775</v>
      </c>
      <c r="R246" s="356"/>
      <c r="S246" s="357"/>
      <c r="T246" s="91"/>
      <c r="U246" s="358"/>
      <c r="V246" s="353" t="s">
        <v>403</v>
      </c>
      <c r="W246" s="353"/>
      <c r="X246" s="457"/>
      <c r="Y246" s="457"/>
      <c r="Z246" s="457"/>
    </row>
    <row r="247" spans="1:26" s="67" customFormat="1" ht="14.25" customHeight="1">
      <c r="A247" s="357" t="s">
        <v>2627</v>
      </c>
      <c r="B247" s="354" t="s">
        <v>401</v>
      </c>
      <c r="C247" s="354" t="s">
        <v>402</v>
      </c>
      <c r="D247" s="402" t="s">
        <v>1635</v>
      </c>
      <c r="E247" s="67">
        <v>197550</v>
      </c>
      <c r="F247" s="353"/>
      <c r="J247" s="67" t="s">
        <v>793</v>
      </c>
      <c r="K247" s="354" t="s">
        <v>793</v>
      </c>
      <c r="L247" s="354" t="s">
        <v>793</v>
      </c>
      <c r="M247" s="67" t="s">
        <v>293</v>
      </c>
      <c r="N247" s="67">
        <v>20.057860999999999</v>
      </c>
      <c r="O247" s="354">
        <v>92.995181000000002</v>
      </c>
      <c r="P247" s="67" t="s">
        <v>794</v>
      </c>
      <c r="Q247" s="67" t="s">
        <v>775</v>
      </c>
      <c r="R247" s="356"/>
      <c r="S247" s="357"/>
      <c r="T247" s="91"/>
      <c r="U247" s="87"/>
      <c r="V247" s="67" t="s">
        <v>402</v>
      </c>
      <c r="W247" s="356"/>
      <c r="X247" s="457"/>
      <c r="Y247" s="457"/>
      <c r="Z247" s="457"/>
    </row>
    <row r="248" spans="1:26" s="67" customFormat="1" ht="14.25" customHeight="1">
      <c r="A248" s="357" t="s">
        <v>2627</v>
      </c>
      <c r="B248" s="354" t="s">
        <v>401</v>
      </c>
      <c r="C248" s="354" t="s">
        <v>1140</v>
      </c>
      <c r="D248" s="402" t="s">
        <v>1635</v>
      </c>
      <c r="E248" s="67">
        <v>220691</v>
      </c>
      <c r="F248" s="354"/>
      <c r="J248" s="67" t="s">
        <v>793</v>
      </c>
      <c r="K248" s="354" t="s">
        <v>793</v>
      </c>
      <c r="L248" s="354" t="s">
        <v>793</v>
      </c>
      <c r="P248" s="67" t="s">
        <v>794</v>
      </c>
      <c r="R248" s="360"/>
      <c r="S248" s="361"/>
      <c r="T248" s="91"/>
      <c r="U248" s="87"/>
      <c r="V248" s="67" t="s">
        <v>1140</v>
      </c>
      <c r="W248" s="356"/>
      <c r="X248" s="457"/>
      <c r="Y248" s="457"/>
      <c r="Z248" s="457"/>
    </row>
    <row r="249" spans="1:26" s="67" customFormat="1" ht="14.25" customHeight="1">
      <c r="A249" s="357" t="s">
        <v>2627</v>
      </c>
      <c r="B249" s="354" t="s">
        <v>401</v>
      </c>
      <c r="C249" s="354" t="s">
        <v>2536</v>
      </c>
      <c r="D249" s="402" t="s">
        <v>1635</v>
      </c>
      <c r="E249" s="353">
        <v>197403</v>
      </c>
      <c r="F249" s="353"/>
      <c r="G249" s="353"/>
      <c r="H249" s="353"/>
      <c r="I249" s="353"/>
      <c r="J249" s="67" t="s">
        <v>793</v>
      </c>
      <c r="K249" s="67" t="s">
        <v>793</v>
      </c>
      <c r="L249" s="163" t="s">
        <v>793</v>
      </c>
      <c r="M249" s="67" t="s">
        <v>293</v>
      </c>
      <c r="N249" s="353"/>
      <c r="O249" s="353"/>
      <c r="R249" s="356"/>
      <c r="S249" s="357"/>
      <c r="T249" s="91"/>
      <c r="U249" s="358"/>
      <c r="V249" s="353"/>
      <c r="W249" s="353"/>
      <c r="X249" s="457"/>
      <c r="Y249" s="457"/>
      <c r="Z249" s="457"/>
    </row>
    <row r="250" spans="1:26" s="67" customFormat="1" ht="14.25" customHeight="1">
      <c r="A250" s="357" t="s">
        <v>2627</v>
      </c>
      <c r="B250" s="354" t="s">
        <v>401</v>
      </c>
      <c r="C250" s="354" t="s">
        <v>2535</v>
      </c>
      <c r="D250" s="402" t="s">
        <v>1635</v>
      </c>
      <c r="E250" s="67">
        <v>197401</v>
      </c>
      <c r="F250" s="67" t="s">
        <v>2535</v>
      </c>
      <c r="J250" s="67" t="s">
        <v>793</v>
      </c>
      <c r="K250" s="67" t="s">
        <v>793</v>
      </c>
      <c r="L250" s="163" t="s">
        <v>793</v>
      </c>
      <c r="M250" s="67" t="s">
        <v>293</v>
      </c>
      <c r="N250" s="67">
        <v>20.260679244995099</v>
      </c>
      <c r="O250" s="67">
        <v>93.051597595214801</v>
      </c>
      <c r="R250" s="356"/>
      <c r="S250" s="357"/>
      <c r="T250" s="91"/>
      <c r="U250" s="87"/>
      <c r="W250" s="353"/>
      <c r="X250" s="457"/>
      <c r="Y250" s="457"/>
      <c r="Z250" s="457"/>
    </row>
    <row r="251" spans="1:26" s="67" customFormat="1" ht="14.25" customHeight="1">
      <c r="A251" s="357" t="s">
        <v>2627</v>
      </c>
      <c r="B251" s="354" t="s">
        <v>401</v>
      </c>
      <c r="C251" s="354" t="s">
        <v>824</v>
      </c>
      <c r="D251" s="402" t="s">
        <v>1635</v>
      </c>
      <c r="E251" s="67">
        <v>197562</v>
      </c>
      <c r="F251" s="354"/>
      <c r="J251" s="67" t="s">
        <v>793</v>
      </c>
      <c r="K251" s="354" t="s">
        <v>793</v>
      </c>
      <c r="L251" s="354" t="s">
        <v>793</v>
      </c>
      <c r="N251" s="67">
        <v>20.06903076</v>
      </c>
      <c r="O251" s="67">
        <v>92.930137630000004</v>
      </c>
      <c r="P251" s="67" t="s">
        <v>794</v>
      </c>
      <c r="R251" s="356"/>
      <c r="S251" s="357"/>
      <c r="T251" s="91"/>
      <c r="U251" s="87"/>
      <c r="V251" s="67" t="s">
        <v>825</v>
      </c>
      <c r="W251" s="356"/>
      <c r="X251" s="457"/>
      <c r="Y251" s="457"/>
      <c r="Z251" s="457"/>
    </row>
    <row r="252" spans="1:26" s="67" customFormat="1" ht="14.25" customHeight="1">
      <c r="A252" s="357" t="s">
        <v>2627</v>
      </c>
      <c r="B252" s="354" t="s">
        <v>401</v>
      </c>
      <c r="C252" s="354" t="s">
        <v>2772</v>
      </c>
      <c r="D252" s="402"/>
      <c r="E252" s="67">
        <v>217986</v>
      </c>
      <c r="J252" s="67" t="s">
        <v>793</v>
      </c>
      <c r="K252" s="67" t="s">
        <v>793</v>
      </c>
      <c r="L252" s="67" t="s">
        <v>793</v>
      </c>
      <c r="N252" s="67">
        <v>19.9964408874512</v>
      </c>
      <c r="O252" s="354">
        <v>92.951683044433594</v>
      </c>
      <c r="R252" s="360"/>
      <c r="S252" s="361"/>
      <c r="T252" s="91"/>
      <c r="U252" s="87"/>
      <c r="W252" s="353"/>
      <c r="X252" s="457"/>
      <c r="Y252" s="457"/>
      <c r="Z252" s="457"/>
    </row>
    <row r="253" spans="1:26" s="67" customFormat="1" ht="14.25" customHeight="1">
      <c r="A253" s="357" t="s">
        <v>2627</v>
      </c>
      <c r="B253" s="354" t="s">
        <v>401</v>
      </c>
      <c r="C253" s="354" t="s">
        <v>2529</v>
      </c>
      <c r="D253" s="402" t="s">
        <v>1635</v>
      </c>
      <c r="E253" s="67">
        <v>197451</v>
      </c>
      <c r="J253" s="67" t="s">
        <v>793</v>
      </c>
      <c r="K253" s="67" t="s">
        <v>793</v>
      </c>
      <c r="L253" s="163" t="s">
        <v>793</v>
      </c>
      <c r="M253" s="67" t="s">
        <v>293</v>
      </c>
      <c r="Q253" s="353"/>
      <c r="R253" s="356"/>
      <c r="S253" s="86"/>
      <c r="T253" s="376"/>
      <c r="U253" s="87"/>
      <c r="W253" s="353"/>
      <c r="X253" s="457"/>
      <c r="Y253" s="457"/>
      <c r="Z253" s="457"/>
    </row>
    <row r="254" spans="1:26" s="67" customFormat="1" ht="14.25" customHeight="1">
      <c r="A254" s="357" t="s">
        <v>2627</v>
      </c>
      <c r="B254" s="354" t="s">
        <v>401</v>
      </c>
      <c r="C254" s="354" t="s">
        <v>2509</v>
      </c>
      <c r="D254" s="402"/>
      <c r="F254" s="354"/>
      <c r="J254" s="67" t="s">
        <v>793</v>
      </c>
      <c r="K254" s="353" t="s">
        <v>793</v>
      </c>
      <c r="L254" s="353" t="s">
        <v>793</v>
      </c>
      <c r="R254" s="360"/>
      <c r="S254" s="361"/>
      <c r="T254" s="91"/>
      <c r="U254" s="87"/>
      <c r="W254" s="353"/>
      <c r="X254" s="457"/>
      <c r="Y254" s="457"/>
      <c r="Z254" s="457"/>
    </row>
    <row r="255" spans="1:26" s="67" customFormat="1" ht="14.25" customHeight="1">
      <c r="A255" s="357" t="s">
        <v>2627</v>
      </c>
      <c r="B255" s="354" t="s">
        <v>401</v>
      </c>
      <c r="C255" s="354" t="s">
        <v>2510</v>
      </c>
      <c r="D255" s="402"/>
      <c r="E255" s="353"/>
      <c r="F255" s="354"/>
      <c r="J255" s="67" t="s">
        <v>793</v>
      </c>
      <c r="K255" s="353" t="s">
        <v>793</v>
      </c>
      <c r="L255" s="353" t="s">
        <v>793</v>
      </c>
      <c r="R255" s="360"/>
      <c r="S255" s="361"/>
      <c r="T255" s="91"/>
      <c r="U255" s="87"/>
      <c r="W255" s="353"/>
      <c r="X255" s="457"/>
      <c r="Y255" s="457"/>
      <c r="Z255" s="457"/>
    </row>
    <row r="256" spans="1:26" s="67" customFormat="1" ht="14.25" customHeight="1">
      <c r="A256" s="357" t="s">
        <v>2627</v>
      </c>
      <c r="B256" s="354" t="s">
        <v>401</v>
      </c>
      <c r="C256" s="354" t="s">
        <v>2514</v>
      </c>
      <c r="D256" s="402"/>
      <c r="E256" s="67">
        <v>197543</v>
      </c>
      <c r="F256" s="67" t="s">
        <v>520</v>
      </c>
      <c r="J256" s="67" t="s">
        <v>793</v>
      </c>
      <c r="K256" s="353" t="s">
        <v>793</v>
      </c>
      <c r="L256" s="353" t="s">
        <v>793</v>
      </c>
      <c r="N256" s="67">
        <v>19.9403591156006</v>
      </c>
      <c r="O256" s="67">
        <v>93.009452819824205</v>
      </c>
      <c r="R256" s="360"/>
      <c r="S256" s="361"/>
      <c r="T256" s="91"/>
      <c r="U256" s="87"/>
      <c r="W256" s="353"/>
      <c r="X256" s="457"/>
      <c r="Y256" s="457"/>
      <c r="Z256" s="457"/>
    </row>
    <row r="257" spans="1:26" s="67" customFormat="1" ht="14.25" customHeight="1">
      <c r="A257" s="357" t="s">
        <v>2627</v>
      </c>
      <c r="B257" s="354" t="s">
        <v>401</v>
      </c>
      <c r="C257" s="354" t="s">
        <v>2512</v>
      </c>
      <c r="D257" s="402"/>
      <c r="E257" s="353">
        <v>197574</v>
      </c>
      <c r="F257" s="67" t="s">
        <v>2672</v>
      </c>
      <c r="J257" s="67" t="s">
        <v>793</v>
      </c>
      <c r="K257" s="67" t="s">
        <v>793</v>
      </c>
      <c r="L257" s="67" t="s">
        <v>793</v>
      </c>
      <c r="N257" s="67">
        <v>20.068620681762699</v>
      </c>
      <c r="O257" s="67">
        <v>92.934440612792997</v>
      </c>
      <c r="R257" s="360"/>
      <c r="S257" s="361"/>
      <c r="T257" s="91"/>
      <c r="U257" s="87"/>
      <c r="W257" s="353"/>
      <c r="X257" s="457"/>
      <c r="Y257" s="457"/>
      <c r="Z257" s="457"/>
    </row>
    <row r="258" spans="1:26" s="67" customFormat="1" ht="14.25" customHeight="1">
      <c r="A258" s="357" t="s">
        <v>2627</v>
      </c>
      <c r="B258" s="354" t="s">
        <v>401</v>
      </c>
      <c r="C258" s="354" t="s">
        <v>2527</v>
      </c>
      <c r="D258" s="355" t="s">
        <v>1635</v>
      </c>
      <c r="E258" s="363">
        <v>197447</v>
      </c>
      <c r="F258" s="363"/>
      <c r="G258" s="363"/>
      <c r="H258" s="363"/>
      <c r="I258" s="363"/>
      <c r="J258" s="67" t="s">
        <v>793</v>
      </c>
      <c r="K258" s="353" t="s">
        <v>793</v>
      </c>
      <c r="L258" s="163" t="s">
        <v>793</v>
      </c>
      <c r="M258" s="67" t="s">
        <v>293</v>
      </c>
      <c r="R258" s="354"/>
      <c r="S258" s="466"/>
      <c r="T258" s="91"/>
      <c r="U258" s="87"/>
      <c r="W258" s="353"/>
      <c r="X258" s="457"/>
      <c r="Y258" s="457"/>
      <c r="Z258" s="457"/>
    </row>
    <row r="259" spans="1:26" s="67" customFormat="1" ht="14.25" customHeight="1">
      <c r="A259" s="357" t="s">
        <v>2627</v>
      </c>
      <c r="B259" s="360" t="s">
        <v>451</v>
      </c>
      <c r="C259" s="361" t="s">
        <v>2693</v>
      </c>
      <c r="D259" s="355"/>
      <c r="E259" s="353">
        <v>196217</v>
      </c>
      <c r="F259" s="353"/>
      <c r="J259" s="67" t="s">
        <v>2632</v>
      </c>
      <c r="K259" s="353" t="s">
        <v>2600</v>
      </c>
      <c r="L259" s="353" t="s">
        <v>2600</v>
      </c>
      <c r="N259" s="67">
        <v>20.643140792846701</v>
      </c>
      <c r="O259" s="67">
        <v>92.851875305175795</v>
      </c>
      <c r="R259" s="364"/>
      <c r="S259" s="357"/>
      <c r="T259" s="91">
        <v>43591</v>
      </c>
      <c r="U259" s="364"/>
      <c r="W259" s="356"/>
      <c r="X259" s="457"/>
      <c r="Y259" s="457"/>
      <c r="Z259" s="457"/>
    </row>
    <row r="260" spans="1:26" s="67" customFormat="1" ht="14.25" customHeight="1">
      <c r="A260" s="360" t="s">
        <v>2627</v>
      </c>
      <c r="B260" s="360" t="s">
        <v>451</v>
      </c>
      <c r="C260" s="361" t="s">
        <v>2776</v>
      </c>
      <c r="D260" s="355"/>
      <c r="E260" s="353">
        <v>196309</v>
      </c>
      <c r="J260" s="67" t="s">
        <v>2632</v>
      </c>
      <c r="K260" s="353" t="s">
        <v>2600</v>
      </c>
      <c r="L260" s="353" t="s">
        <v>2600</v>
      </c>
      <c r="N260" s="353">
        <v>20.623949050903299</v>
      </c>
      <c r="O260" s="353">
        <v>92.950813293457003</v>
      </c>
      <c r="R260" s="364"/>
      <c r="S260" s="86"/>
      <c r="T260" s="91">
        <v>43591</v>
      </c>
      <c r="U260" s="364"/>
      <c r="V260" s="67" t="s">
        <v>2728</v>
      </c>
      <c r="W260" s="356"/>
      <c r="X260" s="457"/>
      <c r="Y260" s="457"/>
      <c r="Z260" s="457"/>
    </row>
    <row r="261" spans="1:26" s="67" customFormat="1" ht="14.25" customHeight="1">
      <c r="A261" s="360" t="s">
        <v>2627</v>
      </c>
      <c r="B261" s="360" t="s">
        <v>451</v>
      </c>
      <c r="C261" s="361" t="s">
        <v>2727</v>
      </c>
      <c r="D261" s="355"/>
      <c r="J261" s="67" t="s">
        <v>2632</v>
      </c>
      <c r="K261" s="353" t="s">
        <v>2600</v>
      </c>
      <c r="L261" s="353" t="s">
        <v>2600</v>
      </c>
      <c r="O261" s="353"/>
      <c r="R261" s="364"/>
      <c r="S261" s="357"/>
      <c r="T261" s="91">
        <v>43591</v>
      </c>
      <c r="U261" s="364"/>
      <c r="W261" s="356"/>
      <c r="X261" s="457"/>
      <c r="Y261" s="457"/>
      <c r="Z261" s="457"/>
    </row>
    <row r="262" spans="1:26" s="67" customFormat="1" ht="14.25" customHeight="1">
      <c r="A262" s="360" t="s">
        <v>2627</v>
      </c>
      <c r="B262" s="360" t="s">
        <v>451</v>
      </c>
      <c r="C262" s="361" t="s">
        <v>2731</v>
      </c>
      <c r="D262" s="355"/>
      <c r="E262" s="67">
        <v>196329</v>
      </c>
      <c r="J262" s="67" t="s">
        <v>2632</v>
      </c>
      <c r="K262" s="67" t="s">
        <v>2600</v>
      </c>
      <c r="L262" s="67" t="s">
        <v>2600</v>
      </c>
      <c r="N262" s="67">
        <v>20.5511798858643</v>
      </c>
      <c r="O262" s="67">
        <v>93.065322875976605</v>
      </c>
      <c r="R262" s="364"/>
      <c r="S262" s="357"/>
      <c r="T262" s="91">
        <v>43591</v>
      </c>
      <c r="U262" s="364"/>
      <c r="W262" s="356"/>
      <c r="X262" s="457"/>
      <c r="Y262" s="457"/>
      <c r="Z262" s="457"/>
    </row>
    <row r="263" spans="1:26" s="67" customFormat="1" ht="14.25" customHeight="1">
      <c r="A263" s="357" t="s">
        <v>2627</v>
      </c>
      <c r="B263" s="354" t="s">
        <v>451</v>
      </c>
      <c r="C263" s="354" t="s">
        <v>483</v>
      </c>
      <c r="D263" s="402" t="s">
        <v>1635</v>
      </c>
      <c r="E263" s="67">
        <v>196350</v>
      </c>
      <c r="F263" s="354"/>
      <c r="J263" s="67" t="s">
        <v>793</v>
      </c>
      <c r="K263" s="354" t="s">
        <v>793</v>
      </c>
      <c r="L263" s="354" t="s">
        <v>793</v>
      </c>
      <c r="M263" s="67" t="s">
        <v>790</v>
      </c>
      <c r="N263" s="67">
        <v>20.494340900000001</v>
      </c>
      <c r="O263" s="67">
        <v>93.054298399999993</v>
      </c>
      <c r="P263" s="67" t="s">
        <v>794</v>
      </c>
      <c r="Q263" s="67" t="s">
        <v>775</v>
      </c>
      <c r="R263" s="356"/>
      <c r="S263" s="86"/>
      <c r="T263" s="91"/>
      <c r="U263" s="87"/>
      <c r="V263" s="67" t="s">
        <v>896</v>
      </c>
      <c r="W263" s="356"/>
      <c r="X263" s="457"/>
      <c r="Y263" s="457"/>
      <c r="Z263" s="457"/>
    </row>
    <row r="264" spans="1:26" s="67" customFormat="1" ht="14.25" customHeight="1">
      <c r="A264" s="360" t="s">
        <v>2627</v>
      </c>
      <c r="B264" s="360" t="s">
        <v>451</v>
      </c>
      <c r="C264" s="361" t="s">
        <v>2724</v>
      </c>
      <c r="D264" s="355"/>
      <c r="E264" s="67">
        <v>196218</v>
      </c>
      <c r="J264" s="67" t="s">
        <v>2632</v>
      </c>
      <c r="K264" s="353" t="s">
        <v>2600</v>
      </c>
      <c r="L264" s="353" t="s">
        <v>2600</v>
      </c>
      <c r="N264" s="67">
        <v>20.709392547607401</v>
      </c>
      <c r="O264" s="353">
        <v>92.815086364746094</v>
      </c>
      <c r="R264" s="364"/>
      <c r="S264" s="86"/>
      <c r="T264" s="91">
        <v>43591</v>
      </c>
      <c r="U264" s="364"/>
      <c r="W264" s="356"/>
      <c r="X264" s="457"/>
      <c r="Y264" s="457"/>
      <c r="Z264" s="457"/>
    </row>
    <row r="265" spans="1:26" s="67" customFormat="1" ht="14.25" customHeight="1">
      <c r="A265" s="357" t="s">
        <v>2627</v>
      </c>
      <c r="B265" s="354" t="s">
        <v>451</v>
      </c>
      <c r="C265" s="354" t="s">
        <v>507</v>
      </c>
      <c r="D265" s="402" t="s">
        <v>1635</v>
      </c>
      <c r="E265" s="67">
        <v>196318</v>
      </c>
      <c r="F265" s="379" t="s">
        <v>507</v>
      </c>
      <c r="J265" s="67" t="s">
        <v>793</v>
      </c>
      <c r="K265" s="354" t="s">
        <v>793</v>
      </c>
      <c r="L265" s="354" t="s">
        <v>793</v>
      </c>
      <c r="M265" s="67" t="s">
        <v>790</v>
      </c>
      <c r="N265" s="67">
        <v>20.608819960000002</v>
      </c>
      <c r="O265" s="67">
        <v>93.022407529999995</v>
      </c>
      <c r="P265" s="67" t="s">
        <v>794</v>
      </c>
      <c r="Q265" s="67" t="s">
        <v>775</v>
      </c>
      <c r="R265" s="356"/>
      <c r="S265" s="357"/>
      <c r="T265" s="91"/>
      <c r="U265" s="87"/>
      <c r="V265" s="67" t="s">
        <v>911</v>
      </c>
      <c r="W265" s="356"/>
      <c r="X265" s="457"/>
      <c r="Y265" s="457"/>
      <c r="Z265" s="457"/>
    </row>
    <row r="266" spans="1:26" s="67" customFormat="1" ht="14.25" customHeight="1">
      <c r="A266" s="360" t="s">
        <v>2627</v>
      </c>
      <c r="B266" s="360" t="s">
        <v>451</v>
      </c>
      <c r="C266" s="361" t="s">
        <v>2725</v>
      </c>
      <c r="D266" s="355"/>
      <c r="E266" s="67">
        <v>196403</v>
      </c>
      <c r="J266" s="67" t="s">
        <v>2632</v>
      </c>
      <c r="K266" s="353" t="s">
        <v>2600</v>
      </c>
      <c r="L266" s="353" t="s">
        <v>2600</v>
      </c>
      <c r="N266" s="67">
        <v>20.303350448608398</v>
      </c>
      <c r="O266" s="67">
        <v>92.927062988281307</v>
      </c>
      <c r="R266" s="364"/>
      <c r="S266" s="357"/>
      <c r="T266" s="91">
        <v>43591</v>
      </c>
      <c r="U266" s="364"/>
      <c r="W266" s="356"/>
      <c r="X266" s="457"/>
      <c r="Y266" s="457"/>
      <c r="Z266" s="457"/>
    </row>
    <row r="267" spans="1:26" s="67" customFormat="1" ht="14.25" customHeight="1">
      <c r="A267" s="357" t="s">
        <v>2627</v>
      </c>
      <c r="B267" s="354" t="s">
        <v>451</v>
      </c>
      <c r="C267" s="354" t="s">
        <v>880</v>
      </c>
      <c r="D267" s="402" t="s">
        <v>1635</v>
      </c>
      <c r="E267" s="353">
        <v>196357</v>
      </c>
      <c r="F267" s="353" t="s">
        <v>880</v>
      </c>
      <c r="G267" s="353"/>
      <c r="H267" s="353"/>
      <c r="J267" s="67" t="s">
        <v>793</v>
      </c>
      <c r="K267" s="354" t="s">
        <v>793</v>
      </c>
      <c r="L267" s="354" t="s">
        <v>793</v>
      </c>
      <c r="M267" s="67" t="s">
        <v>293</v>
      </c>
      <c r="N267" s="353">
        <v>20.369959999999999</v>
      </c>
      <c r="O267" s="353">
        <v>93.019220000000004</v>
      </c>
      <c r="P267" s="353" t="s">
        <v>794</v>
      </c>
      <c r="R267" s="356"/>
      <c r="S267" s="357"/>
      <c r="T267" s="91"/>
      <c r="U267" s="358"/>
      <c r="V267" s="353" t="s">
        <v>880</v>
      </c>
      <c r="W267" s="356"/>
      <c r="X267" s="457"/>
      <c r="Y267" s="457"/>
      <c r="Z267" s="457"/>
    </row>
    <row r="268" spans="1:26" s="67" customFormat="1" ht="14.25" customHeight="1">
      <c r="A268" s="357" t="s">
        <v>2627</v>
      </c>
      <c r="B268" s="354" t="s">
        <v>451</v>
      </c>
      <c r="C268" s="354" t="s">
        <v>508</v>
      </c>
      <c r="D268" s="402" t="s">
        <v>1635</v>
      </c>
      <c r="E268" s="67">
        <v>196316</v>
      </c>
      <c r="J268" s="67" t="s">
        <v>793</v>
      </c>
      <c r="K268" s="354" t="s">
        <v>793</v>
      </c>
      <c r="L268" s="354" t="s">
        <v>793</v>
      </c>
      <c r="M268" s="67" t="s">
        <v>293</v>
      </c>
      <c r="N268" s="67">
        <v>20.630609509999999</v>
      </c>
      <c r="O268" s="67">
        <v>92.998641969999994</v>
      </c>
      <c r="P268" s="67" t="s">
        <v>794</v>
      </c>
      <c r="Q268" s="67" t="s">
        <v>775</v>
      </c>
      <c r="R268" s="356"/>
      <c r="S268" s="357"/>
      <c r="T268" s="91"/>
      <c r="U268" s="87"/>
      <c r="V268" s="67" t="s">
        <v>913</v>
      </c>
      <c r="W268" s="356"/>
      <c r="X268" s="457"/>
      <c r="Y268" s="457"/>
      <c r="Z268" s="457"/>
    </row>
    <row r="269" spans="1:26" s="67" customFormat="1" ht="14.25" customHeight="1">
      <c r="A269" s="360" t="s">
        <v>2627</v>
      </c>
      <c r="B269" s="360" t="s">
        <v>451</v>
      </c>
      <c r="C269" s="361" t="s">
        <v>2729</v>
      </c>
      <c r="D269" s="355"/>
      <c r="E269" s="67">
        <v>196317</v>
      </c>
      <c r="F269" s="353"/>
      <c r="J269" s="67" t="s">
        <v>2632</v>
      </c>
      <c r="K269" s="353" t="s">
        <v>2600</v>
      </c>
      <c r="L269" s="353" t="s">
        <v>2600</v>
      </c>
      <c r="N269" s="67">
        <v>20.616569519043001</v>
      </c>
      <c r="O269" s="67">
        <v>92.991638183593807</v>
      </c>
      <c r="R269" s="364"/>
      <c r="S269" s="86"/>
      <c r="T269" s="91">
        <v>43591</v>
      </c>
      <c r="U269" s="364"/>
      <c r="W269" s="356"/>
      <c r="X269" s="457"/>
      <c r="Y269" s="457"/>
      <c r="Z269" s="457"/>
    </row>
    <row r="270" spans="1:26" s="67" customFormat="1" ht="14.25" customHeight="1">
      <c r="A270" s="357" t="s">
        <v>2627</v>
      </c>
      <c r="B270" s="354" t="s">
        <v>451</v>
      </c>
      <c r="C270" s="354" t="s">
        <v>514</v>
      </c>
      <c r="D270" s="402" t="s">
        <v>1635</v>
      </c>
      <c r="E270" s="67">
        <v>196313</v>
      </c>
      <c r="F270" s="67" t="s">
        <v>509</v>
      </c>
      <c r="J270" s="67" t="s">
        <v>793</v>
      </c>
      <c r="K270" s="67" t="s">
        <v>793</v>
      </c>
      <c r="L270" s="67" t="s">
        <v>793</v>
      </c>
      <c r="M270" s="67" t="s">
        <v>293</v>
      </c>
      <c r="N270" s="67">
        <v>20.645240780000002</v>
      </c>
      <c r="O270" s="67">
        <v>92.939758299999994</v>
      </c>
      <c r="P270" s="67" t="s">
        <v>794</v>
      </c>
      <c r="Q270" s="67" t="s">
        <v>775</v>
      </c>
      <c r="R270" s="356"/>
      <c r="S270" s="86"/>
      <c r="T270" s="91"/>
      <c r="U270" s="87"/>
      <c r="V270" s="67" t="s">
        <v>514</v>
      </c>
      <c r="W270" s="356"/>
      <c r="X270" s="457"/>
      <c r="Y270" s="457"/>
      <c r="Z270" s="457"/>
    </row>
    <row r="271" spans="1:26" s="67" customFormat="1" ht="14.25" customHeight="1">
      <c r="A271" s="357" t="s">
        <v>2627</v>
      </c>
      <c r="B271" s="354" t="s">
        <v>451</v>
      </c>
      <c r="C271" s="354" t="s">
        <v>877</v>
      </c>
      <c r="D271" s="402" t="s">
        <v>1635</v>
      </c>
      <c r="E271" s="67">
        <v>196401</v>
      </c>
      <c r="J271" s="67" t="s">
        <v>793</v>
      </c>
      <c r="K271" s="353" t="s">
        <v>793</v>
      </c>
      <c r="L271" s="353" t="s">
        <v>793</v>
      </c>
      <c r="M271" s="67" t="s">
        <v>293</v>
      </c>
      <c r="N271" s="67">
        <v>20.327500000000001</v>
      </c>
      <c r="O271" s="67">
        <v>92.8947</v>
      </c>
      <c r="P271" s="67" t="s">
        <v>794</v>
      </c>
      <c r="R271" s="356"/>
      <c r="S271" s="86"/>
      <c r="T271" s="91"/>
      <c r="U271" s="87"/>
      <c r="V271" s="67" t="s">
        <v>877</v>
      </c>
      <c r="W271" s="356"/>
      <c r="X271" s="457"/>
      <c r="Y271" s="457"/>
      <c r="Z271" s="457"/>
    </row>
    <row r="272" spans="1:26" s="67" customFormat="1" ht="14.25" customHeight="1">
      <c r="A272" s="357" t="s">
        <v>2627</v>
      </c>
      <c r="B272" s="354" t="s">
        <v>451</v>
      </c>
      <c r="C272" s="354" t="s">
        <v>480</v>
      </c>
      <c r="D272" s="402" t="s">
        <v>1635</v>
      </c>
      <c r="E272" s="353">
        <v>196349</v>
      </c>
      <c r="F272" s="353"/>
      <c r="J272" s="67" t="s">
        <v>793</v>
      </c>
      <c r="K272" s="67" t="s">
        <v>793</v>
      </c>
      <c r="L272" s="67" t="s">
        <v>793</v>
      </c>
      <c r="M272" s="67" t="s">
        <v>293</v>
      </c>
      <c r="N272" s="67">
        <v>20.482030869999999</v>
      </c>
      <c r="O272" s="354">
        <v>93.045410160000003</v>
      </c>
      <c r="P272" s="67" t="s">
        <v>794</v>
      </c>
      <c r="Q272" s="67" t="s">
        <v>775</v>
      </c>
      <c r="R272" s="356"/>
      <c r="S272" s="86"/>
      <c r="T272" s="91"/>
      <c r="U272" s="87"/>
      <c r="V272" s="67" t="s">
        <v>480</v>
      </c>
      <c r="W272" s="356"/>
      <c r="X272" s="457"/>
      <c r="Y272" s="457"/>
      <c r="Z272" s="457"/>
    </row>
    <row r="273" spans="1:26" s="67" customFormat="1" ht="14.25" customHeight="1">
      <c r="A273" s="357" t="s">
        <v>2627</v>
      </c>
      <c r="B273" s="354" t="s">
        <v>451</v>
      </c>
      <c r="C273" s="354" t="s">
        <v>876</v>
      </c>
      <c r="D273" s="402" t="s">
        <v>1635</v>
      </c>
      <c r="E273" s="67">
        <v>196375</v>
      </c>
      <c r="F273" s="353" t="s">
        <v>876</v>
      </c>
      <c r="J273" s="67" t="s">
        <v>793</v>
      </c>
      <c r="K273" s="67" t="s">
        <v>793</v>
      </c>
      <c r="L273" s="67" t="s">
        <v>793</v>
      </c>
      <c r="M273" s="67" t="s">
        <v>293</v>
      </c>
      <c r="N273" s="67">
        <v>20.308</v>
      </c>
      <c r="O273" s="67">
        <v>93.01</v>
      </c>
      <c r="P273" s="67" t="s">
        <v>794</v>
      </c>
      <c r="R273" s="356"/>
      <c r="S273" s="86"/>
      <c r="T273" s="91"/>
      <c r="U273" s="87"/>
      <c r="V273" s="67" t="s">
        <v>876</v>
      </c>
      <c r="W273" s="356"/>
      <c r="X273" s="457"/>
      <c r="Y273" s="457"/>
      <c r="Z273" s="457"/>
    </row>
    <row r="274" spans="1:26" s="67" customFormat="1" ht="14.25" customHeight="1">
      <c r="A274" s="360" t="s">
        <v>2627</v>
      </c>
      <c r="B274" s="360" t="s">
        <v>451</v>
      </c>
      <c r="C274" s="361" t="s">
        <v>2730</v>
      </c>
      <c r="D274" s="355"/>
      <c r="E274" s="67">
        <v>196315</v>
      </c>
      <c r="J274" s="67" t="s">
        <v>2632</v>
      </c>
      <c r="K274" s="353" t="s">
        <v>2600</v>
      </c>
      <c r="L274" s="67" t="s">
        <v>2600</v>
      </c>
      <c r="N274" s="67">
        <v>20.622760772705099</v>
      </c>
      <c r="O274" s="67">
        <v>92.954826354980497</v>
      </c>
      <c r="R274" s="364"/>
      <c r="S274" s="357"/>
      <c r="T274" s="91">
        <v>43591</v>
      </c>
      <c r="U274" s="364"/>
      <c r="V274" s="353"/>
      <c r="W274" s="356"/>
      <c r="X274" s="457"/>
      <c r="Y274" s="457"/>
      <c r="Z274" s="457"/>
    </row>
    <row r="275" spans="1:26" s="67" customFormat="1" ht="14.25" customHeight="1">
      <c r="A275" s="357" t="s">
        <v>2627</v>
      </c>
      <c r="B275" s="354" t="s">
        <v>451</v>
      </c>
      <c r="C275" s="354" t="s">
        <v>509</v>
      </c>
      <c r="D275" s="402" t="s">
        <v>1635</v>
      </c>
      <c r="E275" s="353">
        <v>196312</v>
      </c>
      <c r="F275" s="354"/>
      <c r="J275" s="67" t="s">
        <v>793</v>
      </c>
      <c r="K275" s="353" t="s">
        <v>793</v>
      </c>
      <c r="L275" s="67" t="s">
        <v>793</v>
      </c>
      <c r="M275" s="67" t="s">
        <v>293</v>
      </c>
      <c r="N275" s="353">
        <v>20.63272095</v>
      </c>
      <c r="O275" s="354">
        <v>92.940132140000003</v>
      </c>
      <c r="P275" s="67" t="s">
        <v>794</v>
      </c>
      <c r="Q275" s="67" t="s">
        <v>775</v>
      </c>
      <c r="R275" s="360"/>
      <c r="S275" s="361"/>
      <c r="T275" s="91"/>
      <c r="U275" s="87"/>
      <c r="V275" s="67" t="s">
        <v>914</v>
      </c>
      <c r="W275" s="356"/>
      <c r="X275" s="457"/>
      <c r="Y275" s="457"/>
      <c r="Z275" s="457"/>
    </row>
    <row r="276" spans="1:26" s="67" customFormat="1" ht="14.25" customHeight="1">
      <c r="A276" s="357" t="s">
        <v>2627</v>
      </c>
      <c r="B276" s="354" t="s">
        <v>451</v>
      </c>
      <c r="C276" s="354" t="s">
        <v>506</v>
      </c>
      <c r="D276" s="402" t="s">
        <v>1635</v>
      </c>
      <c r="E276" s="67">
        <v>196321</v>
      </c>
      <c r="F276" s="354"/>
      <c r="J276" s="67" t="s">
        <v>793</v>
      </c>
      <c r="K276" s="67" t="s">
        <v>793</v>
      </c>
      <c r="L276" s="67" t="s">
        <v>793</v>
      </c>
      <c r="M276" s="67" t="s">
        <v>293</v>
      </c>
      <c r="N276" s="67">
        <v>20.59627914</v>
      </c>
      <c r="O276" s="67">
        <v>92.987480160000004</v>
      </c>
      <c r="P276" s="67" t="s">
        <v>794</v>
      </c>
      <c r="Q276" s="67" t="s">
        <v>775</v>
      </c>
      <c r="R276" s="356"/>
      <c r="S276" s="357"/>
      <c r="T276" s="91"/>
      <c r="U276" s="87"/>
      <c r="V276" s="67" t="s">
        <v>506</v>
      </c>
      <c r="W276" s="356"/>
      <c r="X276" s="457"/>
      <c r="Y276" s="457"/>
      <c r="Z276" s="457"/>
    </row>
    <row r="277" spans="1:26" s="67" customFormat="1" ht="14.25" customHeight="1">
      <c r="A277" s="357" t="s">
        <v>2627</v>
      </c>
      <c r="B277" s="354" t="s">
        <v>451</v>
      </c>
      <c r="C277" s="354" t="s">
        <v>875</v>
      </c>
      <c r="D277" s="402" t="s">
        <v>1635</v>
      </c>
      <c r="E277" s="67">
        <v>196412</v>
      </c>
      <c r="F277" s="354" t="s">
        <v>875</v>
      </c>
      <c r="J277" s="67" t="s">
        <v>793</v>
      </c>
      <c r="K277" s="353" t="s">
        <v>793</v>
      </c>
      <c r="L277" s="67" t="s">
        <v>793</v>
      </c>
      <c r="M277" s="67" t="s">
        <v>293</v>
      </c>
      <c r="N277" s="67">
        <v>20.242139999999999</v>
      </c>
      <c r="O277" s="67">
        <v>92.921729999999997</v>
      </c>
      <c r="P277" s="67" t="s">
        <v>794</v>
      </c>
      <c r="R277" s="360"/>
      <c r="S277" s="361"/>
      <c r="T277" s="91"/>
      <c r="U277" s="87"/>
      <c r="V277" s="67" t="s">
        <v>875</v>
      </c>
      <c r="W277" s="356"/>
      <c r="X277" s="457"/>
      <c r="Y277" s="457"/>
      <c r="Z277" s="457"/>
    </row>
    <row r="278" spans="1:26" s="67" customFormat="1" ht="14.25" customHeight="1">
      <c r="A278" s="357" t="s">
        <v>2627</v>
      </c>
      <c r="B278" s="360" t="s">
        <v>451</v>
      </c>
      <c r="C278" s="361" t="s">
        <v>2778</v>
      </c>
      <c r="D278" s="355"/>
      <c r="E278" s="67">
        <v>196234</v>
      </c>
      <c r="J278" s="67" t="s">
        <v>2632</v>
      </c>
      <c r="K278" s="67" t="s">
        <v>2600</v>
      </c>
      <c r="L278" s="67" t="s">
        <v>2600</v>
      </c>
      <c r="N278" s="67">
        <v>20.580810546875</v>
      </c>
      <c r="O278" s="67">
        <v>92.869346618652301</v>
      </c>
      <c r="R278" s="364"/>
      <c r="S278" s="86"/>
      <c r="T278" s="91">
        <v>43591</v>
      </c>
      <c r="U278" s="364"/>
      <c r="V278" s="67" t="s">
        <v>2695</v>
      </c>
      <c r="W278" s="356"/>
      <c r="X278" s="457"/>
      <c r="Y278" s="457"/>
      <c r="Z278" s="457"/>
    </row>
    <row r="279" spans="1:26" s="67" customFormat="1" ht="14.25" customHeight="1">
      <c r="A279" s="357" t="s">
        <v>2627</v>
      </c>
      <c r="B279" s="354" t="s">
        <v>451</v>
      </c>
      <c r="C279" s="354" t="s">
        <v>452</v>
      </c>
      <c r="D279" s="402" t="s">
        <v>1635</v>
      </c>
      <c r="E279" s="353">
        <v>196408</v>
      </c>
      <c r="F279" s="354"/>
      <c r="G279" s="353"/>
      <c r="H279" s="353"/>
      <c r="I279" s="353"/>
      <c r="J279" s="353" t="s">
        <v>793</v>
      </c>
      <c r="K279" s="353" t="s">
        <v>793</v>
      </c>
      <c r="L279" s="353" t="s">
        <v>793</v>
      </c>
      <c r="M279" s="353" t="s">
        <v>293</v>
      </c>
      <c r="N279" s="353">
        <v>20.268000000000001</v>
      </c>
      <c r="O279" s="353">
        <v>92.977999999999994</v>
      </c>
      <c r="P279" s="353" t="s">
        <v>794</v>
      </c>
      <c r="Q279" s="353" t="s">
        <v>775</v>
      </c>
      <c r="R279" s="356"/>
      <c r="S279" s="357"/>
      <c r="T279" s="376"/>
      <c r="U279" s="358"/>
      <c r="V279" s="353" t="s">
        <v>452</v>
      </c>
      <c r="W279" s="356"/>
      <c r="X279" s="457"/>
      <c r="Y279" s="457"/>
      <c r="Z279" s="457"/>
    </row>
    <row r="280" spans="1:26" s="67" customFormat="1" ht="14.25" customHeight="1">
      <c r="A280" s="357" t="s">
        <v>2627</v>
      </c>
      <c r="B280" s="360" t="s">
        <v>451</v>
      </c>
      <c r="C280" s="361" t="s">
        <v>455</v>
      </c>
      <c r="D280" s="355" t="s">
        <v>1635</v>
      </c>
      <c r="E280" s="67">
        <v>196377</v>
      </c>
      <c r="J280" s="67" t="s">
        <v>793</v>
      </c>
      <c r="K280" s="67" t="s">
        <v>793</v>
      </c>
      <c r="L280" s="67" t="s">
        <v>793</v>
      </c>
      <c r="M280" s="67" t="s">
        <v>293</v>
      </c>
      <c r="N280" s="67">
        <v>20.292100000000001</v>
      </c>
      <c r="O280" s="67">
        <v>92.994100000000003</v>
      </c>
      <c r="P280" s="67" t="s">
        <v>794</v>
      </c>
      <c r="Q280" s="67" t="s">
        <v>775</v>
      </c>
      <c r="R280" s="364"/>
      <c r="S280" s="357"/>
      <c r="T280" s="91"/>
      <c r="U280" s="87"/>
      <c r="V280" s="67" t="s">
        <v>455</v>
      </c>
      <c r="W280" s="356"/>
      <c r="X280" s="457"/>
      <c r="Y280" s="457"/>
      <c r="Z280" s="457"/>
    </row>
    <row r="281" spans="1:26" s="67" customFormat="1" ht="14.25" customHeight="1">
      <c r="A281" s="357" t="s">
        <v>2627</v>
      </c>
      <c r="B281" s="354" t="s">
        <v>451</v>
      </c>
      <c r="C281" s="354" t="s">
        <v>486</v>
      </c>
      <c r="D281" s="402" t="s">
        <v>1635</v>
      </c>
      <c r="E281" s="67">
        <v>196337</v>
      </c>
      <c r="J281" s="67" t="s">
        <v>793</v>
      </c>
      <c r="K281" s="353" t="s">
        <v>793</v>
      </c>
      <c r="L281" s="353" t="s">
        <v>793</v>
      </c>
      <c r="M281" s="67" t="s">
        <v>293</v>
      </c>
      <c r="N281" s="67">
        <v>20.509660719999999</v>
      </c>
      <c r="O281" s="67">
        <v>92.997230529999996</v>
      </c>
      <c r="P281" s="67" t="s">
        <v>794</v>
      </c>
      <c r="Q281" s="67" t="s">
        <v>775</v>
      </c>
      <c r="R281" s="356"/>
      <c r="S281" s="357"/>
      <c r="T281" s="91"/>
      <c r="U281" s="87"/>
      <c r="V281" s="67" t="s">
        <v>486</v>
      </c>
      <c r="W281" s="356"/>
      <c r="X281" s="457"/>
      <c r="Y281" s="457"/>
      <c r="Z281" s="457"/>
    </row>
    <row r="282" spans="1:26" s="67" customFormat="1" ht="14.25" customHeight="1">
      <c r="A282" s="360" t="s">
        <v>2627</v>
      </c>
      <c r="B282" s="360" t="s">
        <v>451</v>
      </c>
      <c r="C282" s="361" t="s">
        <v>1714</v>
      </c>
      <c r="D282" s="355"/>
      <c r="E282" s="67">
        <v>196369</v>
      </c>
      <c r="J282" s="67" t="s">
        <v>2632</v>
      </c>
      <c r="K282" s="67" t="s">
        <v>2600</v>
      </c>
      <c r="L282" s="67" t="s">
        <v>2600</v>
      </c>
      <c r="N282" s="353">
        <v>20.337610244751001</v>
      </c>
      <c r="O282" s="353">
        <v>92.969711303710895</v>
      </c>
      <c r="R282" s="364"/>
      <c r="S282" s="86"/>
      <c r="T282" s="91">
        <v>43591</v>
      </c>
      <c r="U282" s="364"/>
      <c r="W282" s="356"/>
      <c r="X282" s="457"/>
      <c r="Y282" s="457"/>
      <c r="Z282" s="457"/>
    </row>
    <row r="283" spans="1:26" s="67" customFormat="1" ht="14.25" customHeight="1">
      <c r="A283" s="360" t="s">
        <v>2627</v>
      </c>
      <c r="B283" s="360" t="s">
        <v>451</v>
      </c>
      <c r="C283" s="361" t="s">
        <v>2726</v>
      </c>
      <c r="D283" s="355"/>
      <c r="E283" s="353">
        <v>196369</v>
      </c>
      <c r="J283" s="67" t="s">
        <v>2632</v>
      </c>
      <c r="K283" s="67" t="s">
        <v>2600</v>
      </c>
      <c r="L283" s="67" t="s">
        <v>2600</v>
      </c>
      <c r="N283" s="353">
        <v>20.337610244751001</v>
      </c>
      <c r="O283" s="353">
        <v>92.969711303710895</v>
      </c>
      <c r="R283" s="364"/>
      <c r="S283" s="86"/>
      <c r="T283" s="91">
        <v>43591</v>
      </c>
      <c r="U283" s="364"/>
      <c r="W283" s="356"/>
      <c r="X283" s="457"/>
      <c r="Y283" s="457"/>
      <c r="Z283" s="457"/>
    </row>
    <row r="284" spans="1:26" s="67" customFormat="1" ht="14.25" customHeight="1">
      <c r="A284" s="357" t="s">
        <v>2627</v>
      </c>
      <c r="B284" s="354" t="s">
        <v>451</v>
      </c>
      <c r="C284" s="354" t="s">
        <v>458</v>
      </c>
      <c r="D284" s="402" t="s">
        <v>1635</v>
      </c>
      <c r="E284" s="67">
        <v>196359</v>
      </c>
      <c r="F284" s="353" t="s">
        <v>458</v>
      </c>
      <c r="J284" s="67" t="s">
        <v>793</v>
      </c>
      <c r="K284" s="67" t="s">
        <v>793</v>
      </c>
      <c r="L284" s="67" t="s">
        <v>793</v>
      </c>
      <c r="M284" s="67" t="s">
        <v>293</v>
      </c>
      <c r="N284" s="353">
        <v>20.361530299999998</v>
      </c>
      <c r="O284" s="353">
        <v>92.992073059999996</v>
      </c>
      <c r="P284" s="67" t="s">
        <v>794</v>
      </c>
      <c r="Q284" s="67" t="s">
        <v>775</v>
      </c>
      <c r="R284" s="356"/>
      <c r="S284" s="357"/>
      <c r="T284" s="91"/>
      <c r="U284" s="87"/>
      <c r="V284" s="67" t="s">
        <v>458</v>
      </c>
      <c r="W284" s="356"/>
      <c r="X284" s="457"/>
      <c r="Y284" s="457"/>
      <c r="Z284" s="457"/>
    </row>
    <row r="285" spans="1:26" s="67" customFormat="1" ht="14.25" customHeight="1">
      <c r="A285" s="357" t="s">
        <v>2627</v>
      </c>
      <c r="B285" s="354" t="s">
        <v>451</v>
      </c>
      <c r="C285" s="354" t="s">
        <v>485</v>
      </c>
      <c r="D285" s="402" t="s">
        <v>1635</v>
      </c>
      <c r="E285" s="67">
        <v>196351</v>
      </c>
      <c r="F285" s="353"/>
      <c r="J285" s="67" t="s">
        <v>793</v>
      </c>
      <c r="K285" s="353" t="s">
        <v>793</v>
      </c>
      <c r="L285" s="353" t="s">
        <v>793</v>
      </c>
      <c r="M285" s="67" t="s">
        <v>293</v>
      </c>
      <c r="N285" s="353">
        <v>20.50658035</v>
      </c>
      <c r="O285" s="353">
        <v>93.0434494</v>
      </c>
      <c r="P285" s="67" t="s">
        <v>794</v>
      </c>
      <c r="Q285" s="67" t="s">
        <v>775</v>
      </c>
      <c r="R285" s="356"/>
      <c r="S285" s="357"/>
      <c r="T285" s="91"/>
      <c r="U285" s="87"/>
      <c r="V285" s="67" t="s">
        <v>485</v>
      </c>
      <c r="W285" s="356"/>
      <c r="X285" s="457"/>
      <c r="Y285" s="457"/>
      <c r="Z285" s="457"/>
    </row>
    <row r="286" spans="1:26" s="67" customFormat="1" ht="14.25" customHeight="1">
      <c r="A286" s="357" t="s">
        <v>2627</v>
      </c>
      <c r="B286" s="354" t="s">
        <v>451</v>
      </c>
      <c r="C286" s="354" t="s">
        <v>499</v>
      </c>
      <c r="D286" s="402" t="s">
        <v>1635</v>
      </c>
      <c r="E286" s="67">
        <v>196331</v>
      </c>
      <c r="F286" s="67" t="s">
        <v>499</v>
      </c>
      <c r="J286" s="67" t="s">
        <v>793</v>
      </c>
      <c r="K286" s="67" t="s">
        <v>793</v>
      </c>
      <c r="L286" s="67" t="s">
        <v>793</v>
      </c>
      <c r="M286" s="67" t="s">
        <v>293</v>
      </c>
      <c r="N286" s="353">
        <v>20.564739230000001</v>
      </c>
      <c r="O286" s="353">
        <v>93.064781190000005</v>
      </c>
      <c r="P286" s="67" t="s">
        <v>794</v>
      </c>
      <c r="Q286" s="67" t="s">
        <v>775</v>
      </c>
      <c r="R286" s="356"/>
      <c r="S286" s="357"/>
      <c r="T286" s="91"/>
      <c r="U286" s="87"/>
      <c r="V286" s="67" t="s">
        <v>499</v>
      </c>
      <c r="W286" s="356"/>
      <c r="X286" s="457"/>
      <c r="Y286" s="457"/>
      <c r="Z286" s="457"/>
    </row>
    <row r="287" spans="1:26" s="67" customFormat="1" ht="14.25" customHeight="1">
      <c r="A287" s="357" t="s">
        <v>2627</v>
      </c>
      <c r="B287" s="354" t="s">
        <v>451</v>
      </c>
      <c r="C287" s="354" t="s">
        <v>467</v>
      </c>
      <c r="D287" s="402" t="s">
        <v>1635</v>
      </c>
      <c r="E287" s="67">
        <v>196356</v>
      </c>
      <c r="J287" s="67" t="s">
        <v>793</v>
      </c>
      <c r="K287" s="67" t="s">
        <v>793</v>
      </c>
      <c r="L287" s="67" t="s">
        <v>793</v>
      </c>
      <c r="M287" s="67" t="s">
        <v>293</v>
      </c>
      <c r="N287" s="67">
        <v>20.424389999999999</v>
      </c>
      <c r="O287" s="67">
        <v>93.012960000000007</v>
      </c>
      <c r="P287" s="67" t="s">
        <v>794</v>
      </c>
      <c r="Q287" s="67" t="s">
        <v>775</v>
      </c>
      <c r="R287" s="356"/>
      <c r="S287" s="357"/>
      <c r="T287" s="91"/>
      <c r="U287" s="87"/>
      <c r="V287" s="67" t="s">
        <v>467</v>
      </c>
      <c r="W287" s="356"/>
      <c r="X287" s="457"/>
      <c r="Y287" s="457"/>
      <c r="Z287" s="457"/>
    </row>
    <row r="288" spans="1:26" s="67" customFormat="1" ht="14.25" customHeight="1">
      <c r="A288" s="357" t="s">
        <v>2627</v>
      </c>
      <c r="B288" s="360" t="s">
        <v>451</v>
      </c>
      <c r="C288" s="361" t="s">
        <v>2777</v>
      </c>
      <c r="D288" s="355"/>
      <c r="E288" s="67">
        <v>196302</v>
      </c>
      <c r="F288" s="353"/>
      <c r="J288" s="67" t="s">
        <v>2632</v>
      </c>
      <c r="K288" s="353" t="s">
        <v>2600</v>
      </c>
      <c r="L288" s="353" t="s">
        <v>2600</v>
      </c>
      <c r="N288" s="67">
        <v>20.5702304840088</v>
      </c>
      <c r="O288" s="67">
        <v>92.977378845214801</v>
      </c>
      <c r="R288" s="364"/>
      <c r="S288" s="357"/>
      <c r="T288" s="91">
        <v>43591</v>
      </c>
      <c r="U288" s="364"/>
      <c r="V288" s="437" t="s">
        <v>2694</v>
      </c>
      <c r="W288" s="356"/>
      <c r="X288" s="457"/>
      <c r="Y288" s="457"/>
      <c r="Z288" s="457"/>
    </row>
    <row r="289" spans="1:26" s="67" customFormat="1" ht="14.25" customHeight="1">
      <c r="A289" s="357" t="s">
        <v>2627</v>
      </c>
      <c r="B289" s="354" t="s">
        <v>353</v>
      </c>
      <c r="C289" s="354" t="s">
        <v>355</v>
      </c>
      <c r="D289" s="402" t="s">
        <v>1636</v>
      </c>
      <c r="E289" s="67" t="s">
        <v>1329</v>
      </c>
      <c r="F289" s="353" t="s">
        <v>1639</v>
      </c>
      <c r="G289" s="67" t="s">
        <v>1641</v>
      </c>
      <c r="H289" s="67" t="s">
        <v>41</v>
      </c>
      <c r="J289" s="67" t="s">
        <v>43</v>
      </c>
      <c r="K289" s="353" t="s">
        <v>43</v>
      </c>
      <c r="L289" s="353" t="s">
        <v>755</v>
      </c>
      <c r="M289" s="67" t="s">
        <v>293</v>
      </c>
      <c r="N289" s="67">
        <v>19.091054</v>
      </c>
      <c r="O289" s="67">
        <v>93.865170000000006</v>
      </c>
      <c r="P289" s="67" t="s">
        <v>756</v>
      </c>
      <c r="Q289" s="67" t="s">
        <v>775</v>
      </c>
      <c r="R289" s="356">
        <v>0</v>
      </c>
      <c r="S289" s="357">
        <v>0</v>
      </c>
      <c r="T289" s="91"/>
      <c r="U289" s="87"/>
      <c r="V289" s="67" t="s">
        <v>355</v>
      </c>
      <c r="W289" s="356"/>
      <c r="X289" s="457"/>
      <c r="Y289" s="457"/>
      <c r="Z289" s="457"/>
    </row>
    <row r="290" spans="1:26" s="67" customFormat="1" ht="14.25" customHeight="1">
      <c r="A290" s="357" t="s">
        <v>2627</v>
      </c>
      <c r="B290" s="354" t="s">
        <v>353</v>
      </c>
      <c r="C290" s="354" t="s">
        <v>354</v>
      </c>
      <c r="D290" s="402"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6">
        <v>0</v>
      </c>
      <c r="S290" s="357">
        <v>0</v>
      </c>
      <c r="T290" s="91"/>
      <c r="U290" s="87" t="s">
        <v>1636</v>
      </c>
      <c r="V290" s="67" t="s">
        <v>791</v>
      </c>
      <c r="W290" s="356"/>
      <c r="X290" s="457"/>
      <c r="Y290" s="457"/>
      <c r="Z290" s="457"/>
    </row>
    <row r="291" spans="1:26" s="67" customFormat="1" ht="14.25" customHeight="1">
      <c r="A291" s="357" t="s">
        <v>2627</v>
      </c>
      <c r="B291" s="360" t="s">
        <v>294</v>
      </c>
      <c r="C291" s="361" t="s">
        <v>447</v>
      </c>
      <c r="D291" s="355" t="s">
        <v>1635</v>
      </c>
      <c r="E291" s="67">
        <v>196143</v>
      </c>
      <c r="F291" s="67" t="s">
        <v>1643</v>
      </c>
      <c r="J291" s="67" t="s">
        <v>793</v>
      </c>
      <c r="K291" s="67" t="s">
        <v>793</v>
      </c>
      <c r="L291" s="67" t="s">
        <v>793</v>
      </c>
      <c r="M291" s="67" t="s">
        <v>790</v>
      </c>
      <c r="N291" s="67">
        <v>20.235199999999999</v>
      </c>
      <c r="O291" s="67">
        <v>92.805000000000007</v>
      </c>
      <c r="P291" s="67" t="s">
        <v>794</v>
      </c>
      <c r="Q291" s="67" t="s">
        <v>775</v>
      </c>
      <c r="R291" s="364"/>
      <c r="S291" s="86"/>
      <c r="T291" s="91"/>
      <c r="U291" s="87"/>
      <c r="V291" s="67" t="s">
        <v>447</v>
      </c>
      <c r="W291" s="356"/>
      <c r="X291" s="457"/>
      <c r="Y291" s="457"/>
      <c r="Z291" s="457"/>
    </row>
    <row r="292" spans="1:26" s="67" customFormat="1" ht="14.25" customHeight="1">
      <c r="A292" s="357" t="s">
        <v>2627</v>
      </c>
      <c r="B292" s="360" t="s">
        <v>294</v>
      </c>
      <c r="C292" s="361" t="s">
        <v>1643</v>
      </c>
      <c r="D292" s="355" t="s">
        <v>1855</v>
      </c>
      <c r="E292" s="67">
        <v>196138</v>
      </c>
      <c r="J292" s="67" t="s">
        <v>793</v>
      </c>
      <c r="K292" s="67" t="s">
        <v>793</v>
      </c>
      <c r="L292" s="67" t="s">
        <v>793</v>
      </c>
      <c r="N292" s="67">
        <v>20.2351894378662</v>
      </c>
      <c r="O292" s="67">
        <v>92.790191650390597</v>
      </c>
      <c r="P292" s="67" t="s">
        <v>794</v>
      </c>
      <c r="R292" s="364"/>
      <c r="S292" s="86"/>
      <c r="T292" s="91"/>
      <c r="U292" s="87"/>
      <c r="W292" s="356"/>
      <c r="X292" s="457"/>
      <c r="Y292" s="457"/>
      <c r="Z292" s="457"/>
    </row>
    <row r="293" spans="1:26" s="67" customFormat="1" ht="14.25" customHeight="1">
      <c r="A293" s="357" t="s">
        <v>2627</v>
      </c>
      <c r="B293" s="360" t="s">
        <v>294</v>
      </c>
      <c r="C293" s="361" t="s">
        <v>448</v>
      </c>
      <c r="D293" s="355" t="s">
        <v>1635</v>
      </c>
      <c r="E293" s="67">
        <v>196152</v>
      </c>
      <c r="J293" s="67" t="s">
        <v>793</v>
      </c>
      <c r="K293" s="67" t="s">
        <v>793</v>
      </c>
      <c r="L293" s="67" t="s">
        <v>793</v>
      </c>
      <c r="M293" s="67" t="s">
        <v>293</v>
      </c>
      <c r="N293" s="67">
        <v>20.235199999999999</v>
      </c>
      <c r="O293" s="67">
        <v>92.790199999999999</v>
      </c>
      <c r="P293" s="67" t="s">
        <v>794</v>
      </c>
      <c r="Q293" s="67" t="s">
        <v>775</v>
      </c>
      <c r="R293" s="364"/>
      <c r="S293" s="86"/>
      <c r="T293" s="91"/>
      <c r="U293" s="87"/>
      <c r="V293" s="67" t="s">
        <v>448</v>
      </c>
      <c r="W293" s="356"/>
      <c r="X293" s="457"/>
      <c r="Y293" s="457"/>
      <c r="Z293" s="457"/>
    </row>
    <row r="294" spans="1:26" s="67" customFormat="1" ht="14.25" customHeight="1">
      <c r="A294" s="357" t="s">
        <v>2627</v>
      </c>
      <c r="B294" s="360" t="s">
        <v>294</v>
      </c>
      <c r="C294" s="361" t="s">
        <v>1860</v>
      </c>
      <c r="D294" s="355" t="s">
        <v>1855</v>
      </c>
      <c r="E294" s="353"/>
      <c r="F294" s="353"/>
      <c r="J294" s="67" t="s">
        <v>793</v>
      </c>
      <c r="K294" s="353" t="s">
        <v>793</v>
      </c>
      <c r="L294" s="353" t="s">
        <v>793</v>
      </c>
      <c r="O294" s="353"/>
      <c r="P294" s="67" t="s">
        <v>794</v>
      </c>
      <c r="R294" s="364"/>
      <c r="S294" s="357"/>
      <c r="T294" s="91"/>
      <c r="U294" s="87"/>
      <c r="W294" s="356"/>
      <c r="X294" s="457"/>
      <c r="Y294" s="457"/>
      <c r="Z294" s="457"/>
    </row>
    <row r="295" spans="1:26" s="67" customFormat="1" ht="14.25" customHeight="1">
      <c r="A295" s="357" t="s">
        <v>2627</v>
      </c>
      <c r="B295" s="360" t="s">
        <v>294</v>
      </c>
      <c r="C295" s="361" t="s">
        <v>412</v>
      </c>
      <c r="D295" s="355" t="s">
        <v>1635</v>
      </c>
      <c r="J295" s="67" t="s">
        <v>793</v>
      </c>
      <c r="K295" s="67" t="s">
        <v>793</v>
      </c>
      <c r="L295" s="67" t="s">
        <v>793</v>
      </c>
      <c r="M295" s="67" t="s">
        <v>790</v>
      </c>
      <c r="P295" s="67" t="s">
        <v>794</v>
      </c>
      <c r="Q295" s="67" t="s">
        <v>775</v>
      </c>
      <c r="R295" s="364"/>
      <c r="S295" s="86"/>
      <c r="T295" s="91"/>
      <c r="U295" s="87"/>
      <c r="V295" s="67" t="s">
        <v>412</v>
      </c>
      <c r="W295" s="356"/>
      <c r="X295" s="457"/>
      <c r="Y295" s="457"/>
      <c r="Z295" s="457"/>
    </row>
    <row r="296" spans="1:26" s="67" customFormat="1" ht="14.25" customHeight="1">
      <c r="A296" s="357" t="s">
        <v>2627</v>
      </c>
      <c r="B296" s="360" t="s">
        <v>294</v>
      </c>
      <c r="C296" s="361" t="s">
        <v>413</v>
      </c>
      <c r="D296" s="402" t="s">
        <v>3088</v>
      </c>
      <c r="E296" s="353" t="s">
        <v>1339</v>
      </c>
      <c r="F296" s="353" t="s">
        <v>1720</v>
      </c>
      <c r="G296" s="67" t="s">
        <v>1721</v>
      </c>
      <c r="H296" s="67" t="s">
        <v>41</v>
      </c>
      <c r="J296" s="67" t="s">
        <v>43</v>
      </c>
      <c r="K296" s="353" t="s">
        <v>43</v>
      </c>
      <c r="L296" s="353" t="s">
        <v>789</v>
      </c>
      <c r="M296" s="67" t="s">
        <v>790</v>
      </c>
      <c r="N296" s="67">
        <v>20.128488999999998</v>
      </c>
      <c r="O296" s="67">
        <v>92.875814000000005</v>
      </c>
      <c r="P296" s="67" t="s">
        <v>756</v>
      </c>
      <c r="Q296" s="67" t="s">
        <v>775</v>
      </c>
      <c r="R296" s="461">
        <v>380</v>
      </c>
      <c r="S296" s="461">
        <v>2435</v>
      </c>
      <c r="T296" s="91"/>
      <c r="U296" s="87"/>
      <c r="V296" s="67" t="s">
        <v>835</v>
      </c>
      <c r="W296" s="356"/>
      <c r="X296" s="457">
        <v>100</v>
      </c>
      <c r="Y296" s="457">
        <v>301</v>
      </c>
      <c r="Z296" s="457">
        <v>401</v>
      </c>
    </row>
    <row r="297" spans="1:26" s="67" customFormat="1" ht="14.25" customHeight="1">
      <c r="A297" s="357" t="s">
        <v>2627</v>
      </c>
      <c r="B297" s="360" t="s">
        <v>294</v>
      </c>
      <c r="C297" s="361" t="s">
        <v>860</v>
      </c>
      <c r="D297" s="355" t="s">
        <v>1636</v>
      </c>
      <c r="E297" s="67" t="s">
        <v>1353</v>
      </c>
      <c r="F297" s="67" t="s">
        <v>1642</v>
      </c>
      <c r="G297" s="67" t="s">
        <v>1668</v>
      </c>
      <c r="J297" s="67" t="s">
        <v>43</v>
      </c>
      <c r="K297" s="353" t="s">
        <v>43</v>
      </c>
      <c r="L297" s="353" t="s">
        <v>755</v>
      </c>
      <c r="M297" s="67" t="s">
        <v>790</v>
      </c>
      <c r="N297" s="67">
        <v>20.181238</v>
      </c>
      <c r="O297" s="67">
        <v>92.807418999999996</v>
      </c>
      <c r="P297" s="67" t="s">
        <v>756</v>
      </c>
      <c r="Q297" s="67" t="s">
        <v>775</v>
      </c>
      <c r="R297" s="364"/>
      <c r="S297" s="357"/>
      <c r="T297" s="91"/>
      <c r="U297" s="87"/>
      <c r="V297" s="67" t="s">
        <v>860</v>
      </c>
      <c r="W297" s="356"/>
      <c r="X297" s="457"/>
      <c r="Y297" s="457"/>
      <c r="Z297" s="457"/>
    </row>
    <row r="298" spans="1:26" s="67" customFormat="1" ht="14.25" customHeight="1">
      <c r="A298" s="357" t="s">
        <v>2627</v>
      </c>
      <c r="B298" s="360" t="s">
        <v>294</v>
      </c>
      <c r="C298" s="361" t="s">
        <v>424</v>
      </c>
      <c r="D298" s="402" t="s">
        <v>3088</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61">
        <v>1012</v>
      </c>
      <c r="S298" s="461">
        <v>5066</v>
      </c>
      <c r="T298" s="91"/>
      <c r="U298" s="87" t="s">
        <v>857</v>
      </c>
      <c r="W298" s="356"/>
      <c r="X298" s="457">
        <v>46</v>
      </c>
      <c r="Y298" s="457">
        <v>436</v>
      </c>
      <c r="Z298" s="457">
        <v>482</v>
      </c>
    </row>
    <row r="299" spans="1:26" s="67" customFormat="1" ht="14.25" customHeight="1">
      <c r="A299" s="357" t="s">
        <v>2627</v>
      </c>
      <c r="B299" s="360" t="s">
        <v>294</v>
      </c>
      <c r="C299" s="361" t="s">
        <v>426</v>
      </c>
      <c r="D299" s="402" t="s">
        <v>3088</v>
      </c>
      <c r="E299" s="353" t="s">
        <v>1354</v>
      </c>
      <c r="F299" s="353" t="s">
        <v>1642</v>
      </c>
      <c r="G299" s="67" t="s">
        <v>1668</v>
      </c>
      <c r="H299" s="67" t="s">
        <v>41</v>
      </c>
      <c r="J299" s="67" t="s">
        <v>43</v>
      </c>
      <c r="K299" s="353" t="s">
        <v>43</v>
      </c>
      <c r="L299" s="353" t="s">
        <v>789</v>
      </c>
      <c r="M299" s="67" t="s">
        <v>790</v>
      </c>
      <c r="N299" s="67">
        <v>20.181405999999999</v>
      </c>
      <c r="O299" s="67">
        <v>92.807552000000001</v>
      </c>
      <c r="P299" s="67" t="s">
        <v>756</v>
      </c>
      <c r="R299" s="461">
        <v>1346</v>
      </c>
      <c r="S299" s="461">
        <v>8414</v>
      </c>
      <c r="T299" s="91"/>
      <c r="U299" s="87" t="s">
        <v>857</v>
      </c>
      <c r="W299" s="356"/>
      <c r="X299" s="457">
        <v>242</v>
      </c>
      <c r="Y299" s="457">
        <v>822</v>
      </c>
      <c r="Z299" s="457">
        <v>1064</v>
      </c>
    </row>
    <row r="300" spans="1:26" s="67" customFormat="1" ht="14.25" customHeight="1">
      <c r="A300" s="357" t="s">
        <v>2627</v>
      </c>
      <c r="B300" s="360" t="s">
        <v>294</v>
      </c>
      <c r="C300" s="361" t="s">
        <v>1088</v>
      </c>
      <c r="D300" s="355" t="s">
        <v>1635</v>
      </c>
      <c r="J300" s="67" t="s">
        <v>793</v>
      </c>
      <c r="K300" s="353" t="s">
        <v>793</v>
      </c>
      <c r="L300" s="353" t="s">
        <v>793</v>
      </c>
      <c r="M300" s="67" t="s">
        <v>790</v>
      </c>
      <c r="P300" s="67" t="s">
        <v>794</v>
      </c>
      <c r="Q300" s="67" t="s">
        <v>757</v>
      </c>
      <c r="R300" s="364"/>
      <c r="S300" s="357"/>
      <c r="T300" s="91">
        <v>42804</v>
      </c>
      <c r="U300" s="87"/>
      <c r="V300" s="67" t="s">
        <v>1088</v>
      </c>
      <c r="W300" s="356"/>
      <c r="X300" s="457"/>
      <c r="Y300" s="457"/>
      <c r="Z300" s="457"/>
    </row>
    <row r="301" spans="1:26" s="67" customFormat="1" ht="14.25" customHeight="1">
      <c r="A301" s="357" t="s">
        <v>2627</v>
      </c>
      <c r="B301" s="360" t="s">
        <v>294</v>
      </c>
      <c r="C301" s="361" t="s">
        <v>2622</v>
      </c>
      <c r="D301" s="402" t="s">
        <v>3088</v>
      </c>
      <c r="E301" s="67" t="s">
        <v>1357</v>
      </c>
      <c r="F301" s="67" t="s">
        <v>1642</v>
      </c>
      <c r="G301" s="67" t="s">
        <v>1668</v>
      </c>
      <c r="H301" s="67" t="s">
        <v>41</v>
      </c>
      <c r="J301" s="67" t="s">
        <v>43</v>
      </c>
      <c r="K301" s="353" t="s">
        <v>43</v>
      </c>
      <c r="L301" s="353" t="s">
        <v>767</v>
      </c>
      <c r="M301" s="67" t="s">
        <v>790</v>
      </c>
      <c r="N301" s="67">
        <v>20.182987000000001</v>
      </c>
      <c r="O301" s="67">
        <v>92.804803000000007</v>
      </c>
      <c r="P301" s="67" t="s">
        <v>768</v>
      </c>
      <c r="Q301" s="67" t="s">
        <v>775</v>
      </c>
      <c r="R301" s="461">
        <v>41</v>
      </c>
      <c r="S301" s="461">
        <v>226</v>
      </c>
      <c r="T301" s="91"/>
      <c r="U301" s="87"/>
      <c r="V301" s="353" t="s">
        <v>862</v>
      </c>
      <c r="W301" s="356"/>
      <c r="X301" s="457"/>
      <c r="Y301" s="457"/>
      <c r="Z301" s="457"/>
    </row>
    <row r="302" spans="1:26" s="67" customFormat="1" ht="14.25" customHeight="1">
      <c r="A302" s="357" t="s">
        <v>2627</v>
      </c>
      <c r="B302" s="360" t="s">
        <v>294</v>
      </c>
      <c r="C302" s="361" t="s">
        <v>414</v>
      </c>
      <c r="D302" s="355" t="s">
        <v>1635</v>
      </c>
      <c r="E302" s="67">
        <v>196200</v>
      </c>
      <c r="J302" s="67" t="s">
        <v>799</v>
      </c>
      <c r="K302" s="67" t="s">
        <v>793</v>
      </c>
      <c r="L302" s="67" t="s">
        <v>799</v>
      </c>
      <c r="M302" s="67" t="s">
        <v>790</v>
      </c>
      <c r="N302" s="67">
        <v>20.143859859999999</v>
      </c>
      <c r="O302" s="67">
        <v>92.867576600000007</v>
      </c>
      <c r="P302" s="67" t="s">
        <v>918</v>
      </c>
      <c r="Q302" s="67" t="s">
        <v>757</v>
      </c>
      <c r="R302" s="364"/>
      <c r="S302" s="357"/>
      <c r="T302" s="91">
        <v>42811</v>
      </c>
      <c r="U302" s="87"/>
      <c r="W302" s="356"/>
      <c r="X302" s="457"/>
      <c r="Y302" s="457"/>
      <c r="Z302" s="457"/>
    </row>
    <row r="303" spans="1:26" s="67" customFormat="1" ht="14.25" customHeight="1">
      <c r="A303" s="357" t="s">
        <v>2627</v>
      </c>
      <c r="B303" s="354" t="s">
        <v>294</v>
      </c>
      <c r="C303" s="354" t="s">
        <v>2568</v>
      </c>
      <c r="D303" s="402"/>
      <c r="E303" s="67">
        <v>196203</v>
      </c>
      <c r="F303" s="354"/>
      <c r="J303" s="67" t="s">
        <v>793</v>
      </c>
      <c r="K303" s="354" t="s">
        <v>793</v>
      </c>
      <c r="L303" s="354" t="s">
        <v>793</v>
      </c>
      <c r="N303" s="67">
        <v>20.142469406127901</v>
      </c>
      <c r="O303" s="67">
        <v>92.863967895507798</v>
      </c>
      <c r="R303" s="360"/>
      <c r="S303" s="361"/>
      <c r="T303" s="91"/>
      <c r="U303" s="87"/>
      <c r="W303" s="356"/>
      <c r="X303" s="457"/>
      <c r="Y303" s="457"/>
      <c r="Z303" s="457"/>
    </row>
    <row r="304" spans="1:26" s="67" customFormat="1" ht="14.25" customHeight="1">
      <c r="A304" s="357" t="s">
        <v>2627</v>
      </c>
      <c r="B304" s="354" t="s">
        <v>294</v>
      </c>
      <c r="C304" s="354" t="s">
        <v>2555</v>
      </c>
      <c r="D304" s="402"/>
      <c r="E304" s="67">
        <v>196132</v>
      </c>
      <c r="J304" s="67" t="s">
        <v>793</v>
      </c>
      <c r="K304" s="353" t="s">
        <v>793</v>
      </c>
      <c r="L304" s="353" t="s">
        <v>793</v>
      </c>
      <c r="R304" s="356"/>
      <c r="S304" s="462"/>
      <c r="T304" s="91"/>
      <c r="U304" s="87"/>
      <c r="W304" s="356"/>
      <c r="X304" s="457"/>
      <c r="Y304" s="457"/>
      <c r="Z304" s="457"/>
    </row>
    <row r="305" spans="1:26" s="67" customFormat="1" ht="14.25" customHeight="1">
      <c r="A305" s="357" t="s">
        <v>2627</v>
      </c>
      <c r="B305" s="360" t="s">
        <v>294</v>
      </c>
      <c r="C305" s="361" t="s">
        <v>454</v>
      </c>
      <c r="D305" s="355" t="s">
        <v>1635</v>
      </c>
      <c r="E305" s="67">
        <v>196172</v>
      </c>
      <c r="J305" s="67" t="s">
        <v>799</v>
      </c>
      <c r="K305" s="67" t="s">
        <v>793</v>
      </c>
      <c r="L305" s="67" t="s">
        <v>799</v>
      </c>
      <c r="M305" s="67" t="s">
        <v>293</v>
      </c>
      <c r="N305" s="67">
        <v>20.286720280000001</v>
      </c>
      <c r="O305" s="67">
        <v>92.882843019999996</v>
      </c>
      <c r="P305" s="67" t="s">
        <v>918</v>
      </c>
      <c r="Q305" s="67" t="s">
        <v>757</v>
      </c>
      <c r="R305" s="364"/>
      <c r="S305" s="357"/>
      <c r="T305" s="91">
        <v>42811</v>
      </c>
      <c r="U305" s="87"/>
      <c r="V305" s="353"/>
      <c r="W305" s="356"/>
      <c r="X305" s="457"/>
      <c r="Y305" s="457"/>
      <c r="Z305" s="457"/>
    </row>
    <row r="306" spans="1:26" s="67" customFormat="1" ht="14.25" customHeight="1">
      <c r="A306" s="357" t="s">
        <v>2627</v>
      </c>
      <c r="B306" s="360" t="s">
        <v>294</v>
      </c>
      <c r="C306" s="361" t="s">
        <v>423</v>
      </c>
      <c r="D306" s="402" t="s">
        <v>3088</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61">
        <v>1713</v>
      </c>
      <c r="S306" s="461">
        <v>11460</v>
      </c>
      <c r="T306" s="91"/>
      <c r="U306" s="87"/>
      <c r="V306" s="67" t="s">
        <v>423</v>
      </c>
      <c r="W306" s="356"/>
      <c r="X306" s="457">
        <v>104</v>
      </c>
      <c r="Y306" s="457">
        <v>810</v>
      </c>
      <c r="Z306" s="457">
        <v>914</v>
      </c>
    </row>
    <row r="307" spans="1:26" s="67" customFormat="1" ht="14.25" customHeight="1">
      <c r="A307" s="357" t="s">
        <v>2627</v>
      </c>
      <c r="B307" s="360" t="s">
        <v>294</v>
      </c>
      <c r="C307" s="361" t="s">
        <v>422</v>
      </c>
      <c r="D307" s="402" t="s">
        <v>3088</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61">
        <v>518</v>
      </c>
      <c r="S307" s="461">
        <v>2951</v>
      </c>
      <c r="T307" s="91"/>
      <c r="U307" s="87" t="s">
        <v>852</v>
      </c>
      <c r="V307" s="67" t="s">
        <v>853</v>
      </c>
      <c r="W307" s="356"/>
      <c r="X307" s="457"/>
      <c r="Y307" s="457"/>
      <c r="Z307" s="457"/>
    </row>
    <row r="308" spans="1:26" s="67" customFormat="1" ht="14.25" customHeight="1">
      <c r="A308" s="357" t="s">
        <v>2627</v>
      </c>
      <c r="B308" s="360" t="s">
        <v>294</v>
      </c>
      <c r="C308" s="361" t="s">
        <v>297</v>
      </c>
      <c r="D308" s="355" t="s">
        <v>1635</v>
      </c>
      <c r="J308" s="353" t="s">
        <v>793</v>
      </c>
      <c r="K308" s="353" t="s">
        <v>793</v>
      </c>
      <c r="L308" s="67" t="s">
        <v>793</v>
      </c>
      <c r="M308" s="67" t="s">
        <v>790</v>
      </c>
      <c r="P308" s="67" t="s">
        <v>794</v>
      </c>
      <c r="Q308" s="67" t="s">
        <v>775</v>
      </c>
      <c r="R308" s="364"/>
      <c r="S308" s="357"/>
      <c r="T308" s="91"/>
      <c r="U308" s="87"/>
      <c r="V308" s="353" t="s">
        <v>297</v>
      </c>
      <c r="W308" s="356"/>
      <c r="X308" s="457"/>
      <c r="Y308" s="457"/>
      <c r="Z308" s="457"/>
    </row>
    <row r="309" spans="1:26" s="67" customFormat="1" ht="14.25" customHeight="1">
      <c r="A309" s="357" t="s">
        <v>2627</v>
      </c>
      <c r="B309" s="354" t="s">
        <v>294</v>
      </c>
      <c r="C309" s="361" t="s">
        <v>2569</v>
      </c>
      <c r="D309" s="355"/>
      <c r="E309" s="67">
        <v>196202</v>
      </c>
      <c r="F309" s="67" t="s">
        <v>414</v>
      </c>
      <c r="J309" s="67" t="s">
        <v>793</v>
      </c>
      <c r="K309" s="67" t="s">
        <v>793</v>
      </c>
      <c r="L309" s="354" t="s">
        <v>793</v>
      </c>
      <c r="N309" s="67">
        <v>20.170469284057599</v>
      </c>
      <c r="O309" s="67">
        <v>92.8343505859375</v>
      </c>
      <c r="R309" s="364"/>
      <c r="S309" s="357"/>
      <c r="T309" s="91"/>
      <c r="U309" s="87"/>
      <c r="W309" s="356"/>
      <c r="X309" s="457"/>
      <c r="Y309" s="457"/>
      <c r="Z309" s="457"/>
    </row>
    <row r="310" spans="1:26" s="67" customFormat="1" ht="14.25" customHeight="1">
      <c r="A310" s="357" t="s">
        <v>2627</v>
      </c>
      <c r="B310" s="354" t="s">
        <v>294</v>
      </c>
      <c r="C310" s="354" t="s">
        <v>1722</v>
      </c>
      <c r="D310" s="402"/>
      <c r="E310" s="67">
        <v>196206</v>
      </c>
      <c r="F310" s="354" t="s">
        <v>414</v>
      </c>
      <c r="J310" s="67" t="s">
        <v>793</v>
      </c>
      <c r="K310" s="354" t="s">
        <v>793</v>
      </c>
      <c r="L310" s="354" t="s">
        <v>793</v>
      </c>
      <c r="N310" s="67">
        <v>20.168970108032202</v>
      </c>
      <c r="O310" s="67">
        <v>92.826896667480497</v>
      </c>
      <c r="R310" s="356"/>
      <c r="S310" s="86"/>
      <c r="T310" s="91"/>
      <c r="U310" s="87"/>
      <c r="V310" s="353"/>
      <c r="W310" s="356"/>
      <c r="X310" s="457"/>
      <c r="Y310" s="457"/>
      <c r="Z310" s="457"/>
    </row>
    <row r="311" spans="1:26" s="67" customFormat="1" ht="14.25" customHeight="1">
      <c r="A311" s="357" t="s">
        <v>2627</v>
      </c>
      <c r="B311" s="360" t="s">
        <v>294</v>
      </c>
      <c r="C311" s="361" t="s">
        <v>1858</v>
      </c>
      <c r="D311" s="355" t="s">
        <v>1855</v>
      </c>
      <c r="J311" s="67" t="s">
        <v>793</v>
      </c>
      <c r="K311" s="67" t="s">
        <v>793</v>
      </c>
      <c r="L311" s="67" t="s">
        <v>793</v>
      </c>
      <c r="P311" s="67" t="s">
        <v>794</v>
      </c>
      <c r="R311" s="364"/>
      <c r="S311" s="357"/>
      <c r="T311" s="91"/>
      <c r="U311" s="87"/>
      <c r="W311" s="356"/>
      <c r="X311" s="457"/>
      <c r="Y311" s="457"/>
      <c r="Z311" s="457"/>
    </row>
    <row r="312" spans="1:26" s="67" customFormat="1" ht="14.25" customHeight="1">
      <c r="A312" s="357" t="s">
        <v>2627</v>
      </c>
      <c r="B312" s="360" t="s">
        <v>294</v>
      </c>
      <c r="C312" s="361" t="s">
        <v>442</v>
      </c>
      <c r="D312" s="355" t="s">
        <v>1635</v>
      </c>
      <c r="E312" s="67">
        <v>196140</v>
      </c>
      <c r="F312" s="353"/>
      <c r="J312" s="67" t="s">
        <v>793</v>
      </c>
      <c r="K312" s="353" t="s">
        <v>793</v>
      </c>
      <c r="L312" s="353" t="s">
        <v>793</v>
      </c>
      <c r="M312" s="67" t="s">
        <v>293</v>
      </c>
      <c r="N312" s="67">
        <v>20.218299999999999</v>
      </c>
      <c r="O312" s="67">
        <v>92.805999999999997</v>
      </c>
      <c r="P312" s="67" t="s">
        <v>794</v>
      </c>
      <c r="Q312" s="67" t="s">
        <v>775</v>
      </c>
      <c r="R312" s="364"/>
      <c r="S312" s="86"/>
      <c r="T312" s="91"/>
      <c r="U312" s="87"/>
      <c r="V312" s="67" t="s">
        <v>442</v>
      </c>
      <c r="W312" s="356"/>
      <c r="X312" s="457"/>
      <c r="Y312" s="457"/>
      <c r="Z312" s="457"/>
    </row>
    <row r="313" spans="1:26" s="67" customFormat="1" ht="14.25" customHeight="1">
      <c r="A313" s="357" t="s">
        <v>2627</v>
      </c>
      <c r="B313" s="360" t="s">
        <v>294</v>
      </c>
      <c r="C313" s="361" t="s">
        <v>845</v>
      </c>
      <c r="D313" s="355" t="s">
        <v>1636</v>
      </c>
      <c r="E313" s="67" t="s">
        <v>1344</v>
      </c>
      <c r="F313" s="67" t="s">
        <v>1667</v>
      </c>
      <c r="G313" s="67">
        <v>0</v>
      </c>
      <c r="J313" s="67" t="s">
        <v>43</v>
      </c>
      <c r="K313" s="67" t="s">
        <v>43</v>
      </c>
      <c r="L313" s="67" t="s">
        <v>755</v>
      </c>
      <c r="N313" s="67">
        <v>20.153129</v>
      </c>
      <c r="O313" s="67">
        <v>92.897177999999997</v>
      </c>
      <c r="P313" s="67" t="s">
        <v>756</v>
      </c>
      <c r="R313" s="364"/>
      <c r="S313" s="86"/>
      <c r="T313" s="91"/>
      <c r="U313" s="87"/>
      <c r="V313" s="67" t="s">
        <v>846</v>
      </c>
      <c r="W313" s="356"/>
      <c r="X313" s="457"/>
      <c r="Y313" s="457"/>
      <c r="Z313" s="457"/>
    </row>
    <row r="314" spans="1:26" s="67" customFormat="1" ht="14.25" customHeight="1">
      <c r="A314" s="357" t="s">
        <v>2627</v>
      </c>
      <c r="B314" s="354" t="s">
        <v>294</v>
      </c>
      <c r="C314" s="354" t="s">
        <v>2562</v>
      </c>
      <c r="D314" s="402"/>
      <c r="E314" s="354">
        <v>196126</v>
      </c>
      <c r="F314" s="67" t="s">
        <v>2564</v>
      </c>
      <c r="J314" s="67" t="s">
        <v>793</v>
      </c>
      <c r="K314" s="354" t="s">
        <v>793</v>
      </c>
      <c r="L314" s="354" t="s">
        <v>793</v>
      </c>
      <c r="N314" s="353">
        <v>20.199499130248999</v>
      </c>
      <c r="O314" s="353">
        <v>92.834327697753906</v>
      </c>
      <c r="R314" s="356"/>
      <c r="S314" s="86"/>
      <c r="T314" s="91"/>
      <c r="U314" s="87"/>
      <c r="W314" s="356"/>
      <c r="X314" s="457"/>
      <c r="Y314" s="457"/>
      <c r="Z314" s="457"/>
    </row>
    <row r="315" spans="1:26" s="67" customFormat="1" ht="14.25" customHeight="1">
      <c r="A315" s="357" t="s">
        <v>2627</v>
      </c>
      <c r="B315" s="354" t="s">
        <v>294</v>
      </c>
      <c r="C315" s="354" t="s">
        <v>2563</v>
      </c>
      <c r="D315" s="402"/>
      <c r="E315" s="67">
        <v>196128</v>
      </c>
      <c r="F315" s="353" t="s">
        <v>2564</v>
      </c>
      <c r="J315" s="67" t="s">
        <v>793</v>
      </c>
      <c r="K315" s="354" t="s">
        <v>793</v>
      </c>
      <c r="L315" s="354" t="s">
        <v>793</v>
      </c>
      <c r="N315" s="67">
        <v>20.194370269775401</v>
      </c>
      <c r="O315" s="67">
        <v>92.834007263183594</v>
      </c>
      <c r="R315" s="356"/>
      <c r="S315" s="462"/>
      <c r="T315" s="91"/>
      <c r="U315" s="87"/>
      <c r="W315" s="356"/>
      <c r="X315" s="457"/>
      <c r="Y315" s="457"/>
      <c r="Z315" s="457"/>
    </row>
    <row r="316" spans="1:26" s="67" customFormat="1" ht="14.25" customHeight="1">
      <c r="A316" s="357" t="s">
        <v>2627</v>
      </c>
      <c r="B316" s="360" t="s">
        <v>294</v>
      </c>
      <c r="C316" s="361" t="s">
        <v>434</v>
      </c>
      <c r="D316" s="355" t="s">
        <v>1635</v>
      </c>
      <c r="E316" s="354">
        <v>196128</v>
      </c>
      <c r="F316" s="353"/>
      <c r="J316" s="67" t="s">
        <v>799</v>
      </c>
      <c r="K316" s="67" t="s">
        <v>793</v>
      </c>
      <c r="L316" s="67" t="s">
        <v>799</v>
      </c>
      <c r="M316" s="67" t="s">
        <v>790</v>
      </c>
      <c r="N316" s="67">
        <v>20.19437027</v>
      </c>
      <c r="O316" s="67">
        <v>92.834007260000007</v>
      </c>
      <c r="P316" s="67" t="s">
        <v>918</v>
      </c>
      <c r="Q316" s="67" t="s">
        <v>757</v>
      </c>
      <c r="R316" s="364"/>
      <c r="S316" s="86"/>
      <c r="T316" s="91">
        <v>42811</v>
      </c>
      <c r="U316" s="87"/>
      <c r="W316" s="356"/>
      <c r="X316" s="457"/>
      <c r="Y316" s="457"/>
      <c r="Z316" s="457"/>
    </row>
    <row r="317" spans="1:26" s="67" customFormat="1" ht="14.25" customHeight="1">
      <c r="A317" s="357" t="s">
        <v>2627</v>
      </c>
      <c r="B317" s="360" t="s">
        <v>294</v>
      </c>
      <c r="C317" s="361" t="s">
        <v>428</v>
      </c>
      <c r="D317" s="355" t="s">
        <v>1855</v>
      </c>
      <c r="E317" s="67">
        <v>196197</v>
      </c>
      <c r="J317" s="67" t="s">
        <v>793</v>
      </c>
      <c r="K317" s="67" t="s">
        <v>793</v>
      </c>
      <c r="L317" s="67" t="s">
        <v>793</v>
      </c>
      <c r="N317" s="67">
        <v>20.183790210000002</v>
      </c>
      <c r="O317" s="67">
        <v>92.864143369999994</v>
      </c>
      <c r="P317" s="67" t="s">
        <v>794</v>
      </c>
      <c r="R317" s="364"/>
      <c r="S317" s="86"/>
      <c r="T317" s="91"/>
      <c r="U317" s="87"/>
      <c r="W317" s="356"/>
      <c r="X317" s="457"/>
      <c r="Y317" s="457"/>
      <c r="Z317" s="457"/>
    </row>
    <row r="318" spans="1:26" s="67" customFormat="1" ht="14.25" customHeight="1">
      <c r="A318" s="357" t="s">
        <v>2627</v>
      </c>
      <c r="B318" s="354" t="s">
        <v>294</v>
      </c>
      <c r="C318" s="354" t="s">
        <v>2556</v>
      </c>
      <c r="D318" s="402"/>
      <c r="E318" s="67">
        <v>196135</v>
      </c>
      <c r="J318" s="67" t="s">
        <v>793</v>
      </c>
      <c r="K318" s="67" t="s">
        <v>793</v>
      </c>
      <c r="L318" s="67" t="s">
        <v>793</v>
      </c>
      <c r="R318" s="356"/>
      <c r="S318" s="462"/>
      <c r="T318" s="91"/>
      <c r="U318" s="87"/>
      <c r="W318" s="356"/>
      <c r="X318" s="457"/>
      <c r="Y318" s="457"/>
      <c r="Z318" s="457"/>
    </row>
    <row r="319" spans="1:26" s="67" customFormat="1" ht="14.25" customHeight="1">
      <c r="A319" s="357" t="s">
        <v>2627</v>
      </c>
      <c r="B319" s="354" t="s">
        <v>294</v>
      </c>
      <c r="C319" s="354" t="s">
        <v>2557</v>
      </c>
      <c r="D319" s="402"/>
      <c r="E319" s="67">
        <v>196134</v>
      </c>
      <c r="F319" s="67" t="s">
        <v>2676</v>
      </c>
      <c r="J319" s="67" t="s">
        <v>793</v>
      </c>
      <c r="K319" s="67" t="s">
        <v>793</v>
      </c>
      <c r="L319" s="67" t="s">
        <v>793</v>
      </c>
      <c r="N319" s="67">
        <v>20.187860488891602</v>
      </c>
      <c r="O319" s="67">
        <v>92.903419494628906</v>
      </c>
      <c r="R319" s="356"/>
      <c r="S319" s="357"/>
      <c r="T319" s="91"/>
      <c r="U319" s="87"/>
      <c r="W319" s="356"/>
      <c r="X319" s="457"/>
      <c r="Y319" s="457"/>
      <c r="Z319" s="457"/>
    </row>
    <row r="320" spans="1:26" s="67" customFormat="1" ht="14.25" customHeight="1">
      <c r="A320" s="357" t="s">
        <v>2627</v>
      </c>
      <c r="B320" s="354" t="s">
        <v>294</v>
      </c>
      <c r="C320" s="354" t="s">
        <v>1995</v>
      </c>
      <c r="D320" s="402"/>
      <c r="E320" s="353">
        <v>196160</v>
      </c>
      <c r="F320" s="353" t="s">
        <v>1995</v>
      </c>
      <c r="G320" s="353"/>
      <c r="H320" s="353"/>
      <c r="I320" s="353"/>
      <c r="J320" s="67" t="s">
        <v>793</v>
      </c>
      <c r="K320" s="354" t="s">
        <v>793</v>
      </c>
      <c r="L320" s="354" t="s">
        <v>793</v>
      </c>
      <c r="M320" s="353"/>
      <c r="N320" s="353">
        <v>20.246250152587901</v>
      </c>
      <c r="O320" s="353">
        <v>92.822059631347699</v>
      </c>
      <c r="Q320" s="353"/>
      <c r="R320" s="356"/>
      <c r="S320" s="357"/>
      <c r="T320" s="376"/>
      <c r="U320" s="358"/>
      <c r="V320" s="353" t="s">
        <v>2683</v>
      </c>
      <c r="W320" s="356"/>
      <c r="X320" s="457"/>
      <c r="Y320" s="457"/>
      <c r="Z320" s="457"/>
    </row>
    <row r="321" spans="1:26" s="67" customFormat="1" ht="14.25" customHeight="1">
      <c r="A321" s="357" t="s">
        <v>2627</v>
      </c>
      <c r="B321" s="360" t="s">
        <v>294</v>
      </c>
      <c r="C321" s="361" t="s">
        <v>2271</v>
      </c>
      <c r="D321" s="402" t="s">
        <v>3088</v>
      </c>
      <c r="E321" s="353" t="s">
        <v>1356</v>
      </c>
      <c r="F321" s="67" t="s">
        <v>1642</v>
      </c>
      <c r="G321" s="67" t="s">
        <v>1642</v>
      </c>
      <c r="H321" s="67" t="s">
        <v>41</v>
      </c>
      <c r="I321" s="353"/>
      <c r="J321" s="67" t="s">
        <v>43</v>
      </c>
      <c r="K321" s="353" t="s">
        <v>43</v>
      </c>
      <c r="L321" s="353" t="s">
        <v>789</v>
      </c>
      <c r="M321" s="67" t="s">
        <v>790</v>
      </c>
      <c r="N321" s="67">
        <v>20.181778000000001</v>
      </c>
      <c r="O321" s="353">
        <v>92.823166999999998</v>
      </c>
      <c r="P321" s="67" t="s">
        <v>756</v>
      </c>
      <c r="Q321" s="67" t="s">
        <v>775</v>
      </c>
      <c r="R321" s="461">
        <v>392</v>
      </c>
      <c r="S321" s="461">
        <v>2455</v>
      </c>
      <c r="T321" s="91"/>
      <c r="U321" s="87"/>
      <c r="V321" s="67" t="s">
        <v>861</v>
      </c>
      <c r="W321" s="356"/>
      <c r="X321" s="457">
        <v>47</v>
      </c>
      <c r="Y321" s="457">
        <v>306</v>
      </c>
      <c r="Z321" s="457">
        <v>353</v>
      </c>
    </row>
    <row r="322" spans="1:26" s="67" customFormat="1" ht="14.25" customHeight="1">
      <c r="A322" s="357" t="s">
        <v>2627</v>
      </c>
      <c r="B322" s="360" t="s">
        <v>294</v>
      </c>
      <c r="C322" s="361" t="s">
        <v>2272</v>
      </c>
      <c r="D322" s="402" t="s">
        <v>3088</v>
      </c>
      <c r="E322" s="67" t="s">
        <v>1356</v>
      </c>
      <c r="F322" s="67" t="s">
        <v>1642</v>
      </c>
      <c r="G322" s="67">
        <v>0</v>
      </c>
      <c r="J322" s="67" t="s">
        <v>43</v>
      </c>
      <c r="K322" s="67" t="s">
        <v>43</v>
      </c>
      <c r="L322" s="67" t="s">
        <v>789</v>
      </c>
      <c r="M322" s="67" t="s">
        <v>790</v>
      </c>
      <c r="N322" s="67">
        <v>20.180194</v>
      </c>
      <c r="O322" s="67">
        <v>92.816638999999995</v>
      </c>
      <c r="P322" s="67" t="s">
        <v>756</v>
      </c>
      <c r="Q322" s="67" t="s">
        <v>775</v>
      </c>
      <c r="R322" s="461">
        <v>400</v>
      </c>
      <c r="S322" s="461">
        <v>2228</v>
      </c>
      <c r="T322" s="91">
        <v>43488</v>
      </c>
      <c r="U322" s="87"/>
      <c r="V322" s="67" t="s">
        <v>859</v>
      </c>
      <c r="W322" s="356"/>
      <c r="X322" s="457">
        <v>70</v>
      </c>
      <c r="Y322" s="457">
        <v>241</v>
      </c>
      <c r="Z322" s="457">
        <v>311</v>
      </c>
    </row>
    <row r="323" spans="1:26" s="67" customFormat="1" ht="14.25" customHeight="1">
      <c r="A323" s="357" t="s">
        <v>2627</v>
      </c>
      <c r="B323" s="360" t="s">
        <v>294</v>
      </c>
      <c r="C323" s="361" t="s">
        <v>2571</v>
      </c>
      <c r="D323" s="355"/>
      <c r="E323" s="67">
        <v>196195</v>
      </c>
      <c r="J323" s="67" t="s">
        <v>793</v>
      </c>
      <c r="K323" s="67" t="s">
        <v>793</v>
      </c>
      <c r="L323" s="67" t="s">
        <v>793</v>
      </c>
      <c r="N323" s="353">
        <v>20.172649383544901</v>
      </c>
      <c r="O323" s="353">
        <v>92.874351501464801</v>
      </c>
      <c r="R323" s="364"/>
      <c r="S323" s="86"/>
      <c r="T323" s="91"/>
      <c r="U323" s="87"/>
      <c r="W323" s="356"/>
      <c r="X323" s="457"/>
      <c r="Y323" s="457"/>
      <c r="Z323" s="457"/>
    </row>
    <row r="324" spans="1:26" s="67" customFormat="1" ht="14.25" customHeight="1">
      <c r="A324" s="357" t="s">
        <v>2627</v>
      </c>
      <c r="B324" s="360" t="s">
        <v>294</v>
      </c>
      <c r="C324" s="361" t="s">
        <v>2572</v>
      </c>
      <c r="D324" s="355"/>
      <c r="J324" s="67" t="s">
        <v>793</v>
      </c>
      <c r="K324" s="353" t="s">
        <v>793</v>
      </c>
      <c r="L324" s="67" t="s">
        <v>793</v>
      </c>
      <c r="O324" s="353"/>
      <c r="R324" s="364"/>
      <c r="S324" s="357"/>
      <c r="T324" s="91"/>
      <c r="U324" s="87"/>
      <c r="W324" s="356"/>
      <c r="X324" s="457"/>
      <c r="Y324" s="457"/>
      <c r="Z324" s="457"/>
    </row>
    <row r="325" spans="1:26" s="67" customFormat="1" ht="14.25" customHeight="1">
      <c r="A325" s="357" t="s">
        <v>2627</v>
      </c>
      <c r="B325" s="360" t="s">
        <v>294</v>
      </c>
      <c r="C325" s="361" t="s">
        <v>1991</v>
      </c>
      <c r="D325" s="355"/>
      <c r="E325" s="67">
        <v>196180</v>
      </c>
      <c r="F325" s="67" t="s">
        <v>1992</v>
      </c>
      <c r="J325" s="67" t="s">
        <v>793</v>
      </c>
      <c r="K325" s="67" t="s">
        <v>793</v>
      </c>
      <c r="L325" s="67" t="s">
        <v>793</v>
      </c>
      <c r="M325" s="67" t="s">
        <v>1885</v>
      </c>
      <c r="N325" s="67">
        <v>20.2315197</v>
      </c>
      <c r="O325" s="67">
        <v>92.876129149999997</v>
      </c>
      <c r="P325" s="67" t="s">
        <v>794</v>
      </c>
      <c r="R325" s="364"/>
      <c r="S325" s="86"/>
      <c r="T325" s="91">
        <v>43294</v>
      </c>
      <c r="U325" s="87"/>
      <c r="W325" s="356"/>
      <c r="X325" s="457"/>
      <c r="Y325" s="457"/>
      <c r="Z325" s="457"/>
    </row>
    <row r="326" spans="1:26" s="67" customFormat="1" ht="14.25" customHeight="1">
      <c r="A326" s="357" t="s">
        <v>2627</v>
      </c>
      <c r="B326" s="354" t="s">
        <v>294</v>
      </c>
      <c r="C326" s="354" t="s">
        <v>2561</v>
      </c>
      <c r="D326" s="402"/>
      <c r="E326" s="67">
        <v>196169</v>
      </c>
      <c r="F326" s="67" t="s">
        <v>2561</v>
      </c>
      <c r="J326" s="67" t="s">
        <v>793</v>
      </c>
      <c r="K326" s="67" t="s">
        <v>793</v>
      </c>
      <c r="L326" s="67" t="s">
        <v>793</v>
      </c>
      <c r="N326" s="67">
        <v>20.2375602722168</v>
      </c>
      <c r="O326" s="67">
        <v>92.861152648925795</v>
      </c>
      <c r="R326" s="356"/>
      <c r="S326" s="86"/>
      <c r="T326" s="91"/>
      <c r="U326" s="87"/>
      <c r="W326" s="356"/>
      <c r="X326" s="457"/>
      <c r="Y326" s="457"/>
      <c r="Z326" s="457"/>
    </row>
    <row r="327" spans="1:26" s="67" customFormat="1" ht="14.25" customHeight="1">
      <c r="A327" s="357" t="s">
        <v>2627</v>
      </c>
      <c r="B327" s="354" t="s">
        <v>294</v>
      </c>
      <c r="C327" s="354" t="s">
        <v>2560</v>
      </c>
      <c r="D327" s="402"/>
      <c r="E327" s="353">
        <v>196170</v>
      </c>
      <c r="F327" s="353" t="s">
        <v>2561</v>
      </c>
      <c r="G327" s="353"/>
      <c r="H327" s="353"/>
      <c r="I327" s="353"/>
      <c r="J327" s="67" t="s">
        <v>793</v>
      </c>
      <c r="K327" s="353" t="s">
        <v>793</v>
      </c>
      <c r="L327" s="353" t="s">
        <v>793</v>
      </c>
      <c r="M327" s="353"/>
      <c r="N327" s="353">
        <v>20.248519897460898</v>
      </c>
      <c r="O327" s="353">
        <v>92.8621826171875</v>
      </c>
      <c r="Q327" s="353"/>
      <c r="R327" s="356"/>
      <c r="S327" s="357"/>
      <c r="T327" s="376"/>
      <c r="U327" s="358"/>
      <c r="V327" s="353"/>
      <c r="W327" s="356"/>
      <c r="X327" s="457"/>
      <c r="Y327" s="457"/>
      <c r="Z327" s="457"/>
    </row>
    <row r="328" spans="1:26" s="67" customFormat="1" ht="14.25" customHeight="1">
      <c r="A328" s="357" t="s">
        <v>2627</v>
      </c>
      <c r="B328" s="354" t="s">
        <v>294</v>
      </c>
      <c r="C328" s="354" t="s">
        <v>2559</v>
      </c>
      <c r="D328" s="402"/>
      <c r="E328" s="353">
        <v>196166</v>
      </c>
      <c r="F328" s="353" t="s">
        <v>453</v>
      </c>
      <c r="J328" s="67" t="s">
        <v>793</v>
      </c>
      <c r="K328" s="353" t="s">
        <v>793</v>
      </c>
      <c r="L328" s="353" t="s">
        <v>793</v>
      </c>
      <c r="N328" s="67">
        <v>20.2630290985107</v>
      </c>
      <c r="O328" s="353">
        <v>92.858856201171903</v>
      </c>
      <c r="P328" s="353"/>
      <c r="Q328" s="353"/>
      <c r="R328" s="356"/>
      <c r="S328" s="357"/>
      <c r="T328" s="91"/>
      <c r="U328" s="87"/>
      <c r="V328" s="353"/>
      <c r="W328" s="356"/>
      <c r="X328" s="457"/>
      <c r="Y328" s="457"/>
      <c r="Z328" s="457"/>
    </row>
    <row r="329" spans="1:26" s="67" customFormat="1" ht="14.25" customHeight="1">
      <c r="A329" s="357" t="s">
        <v>2627</v>
      </c>
      <c r="B329" s="360" t="s">
        <v>294</v>
      </c>
      <c r="C329" s="361" t="s">
        <v>449</v>
      </c>
      <c r="D329" s="355" t="s">
        <v>1635</v>
      </c>
      <c r="E329" s="67">
        <v>196137</v>
      </c>
      <c r="F329" s="354" t="s">
        <v>449</v>
      </c>
      <c r="J329" s="67" t="s">
        <v>793</v>
      </c>
      <c r="K329" s="353" t="s">
        <v>793</v>
      </c>
      <c r="L329" s="353" t="s">
        <v>793</v>
      </c>
      <c r="M329" s="67" t="s">
        <v>293</v>
      </c>
      <c r="N329" s="67">
        <v>20.245159149999999</v>
      </c>
      <c r="O329" s="67">
        <v>92.807418819999995</v>
      </c>
      <c r="P329" s="67" t="s">
        <v>794</v>
      </c>
      <c r="Q329" s="67" t="s">
        <v>775</v>
      </c>
      <c r="R329" s="364"/>
      <c r="S329" s="86"/>
      <c r="T329" s="91"/>
      <c r="U329" s="87"/>
      <c r="V329" s="67" t="s">
        <v>449</v>
      </c>
      <c r="W329" s="356"/>
      <c r="X329" s="457"/>
      <c r="Y329" s="457"/>
      <c r="Z329" s="457"/>
    </row>
    <row r="330" spans="1:26" s="67" customFormat="1" ht="14.25" customHeight="1">
      <c r="A330" s="357" t="s">
        <v>2627</v>
      </c>
      <c r="B330" s="360" t="s">
        <v>294</v>
      </c>
      <c r="C330" s="361" t="s">
        <v>453</v>
      </c>
      <c r="D330" s="355" t="s">
        <v>1635</v>
      </c>
      <c r="E330" s="353">
        <v>196163</v>
      </c>
      <c r="F330" s="353"/>
      <c r="G330" s="353"/>
      <c r="H330" s="353"/>
      <c r="I330" s="353"/>
      <c r="J330" s="353" t="s">
        <v>799</v>
      </c>
      <c r="K330" s="353" t="s">
        <v>793</v>
      </c>
      <c r="L330" s="353" t="s">
        <v>799</v>
      </c>
      <c r="M330" s="353" t="s">
        <v>293</v>
      </c>
      <c r="N330" s="353">
        <v>20.27263069</v>
      </c>
      <c r="O330" s="353">
        <v>92.843261720000001</v>
      </c>
      <c r="P330" s="353" t="s">
        <v>918</v>
      </c>
      <c r="Q330" s="353" t="s">
        <v>757</v>
      </c>
      <c r="R330" s="364"/>
      <c r="S330" s="357"/>
      <c r="T330" s="376">
        <v>42811</v>
      </c>
      <c r="U330" s="358"/>
      <c r="V330" s="353"/>
      <c r="W330" s="356"/>
      <c r="X330" s="457"/>
      <c r="Y330" s="457"/>
      <c r="Z330" s="457"/>
    </row>
    <row r="331" spans="1:26" s="67" customFormat="1" ht="14.25" customHeight="1">
      <c r="A331" s="357" t="s">
        <v>2627</v>
      </c>
      <c r="B331" s="354" t="s">
        <v>294</v>
      </c>
      <c r="C331" s="354" t="s">
        <v>2564</v>
      </c>
      <c r="D331" s="402"/>
      <c r="E331" s="353">
        <v>196125</v>
      </c>
      <c r="F331" s="353" t="s">
        <v>2564</v>
      </c>
      <c r="J331" s="67" t="s">
        <v>793</v>
      </c>
      <c r="K331" s="354" t="s">
        <v>793</v>
      </c>
      <c r="L331" s="353" t="s">
        <v>793</v>
      </c>
      <c r="N331" s="67">
        <v>20.2105598449707</v>
      </c>
      <c r="O331" s="353">
        <v>92.836456298828097</v>
      </c>
      <c r="R331" s="356"/>
      <c r="S331" s="462"/>
      <c r="T331" s="91"/>
      <c r="U331" s="87"/>
      <c r="W331" s="356"/>
      <c r="X331" s="457"/>
      <c r="Y331" s="457"/>
      <c r="Z331" s="457"/>
    </row>
    <row r="332" spans="1:26" s="67" customFormat="1" ht="14.25" customHeight="1">
      <c r="A332" s="357" t="s">
        <v>2627</v>
      </c>
      <c r="B332" s="360" t="s">
        <v>294</v>
      </c>
      <c r="C332" s="361" t="s">
        <v>430</v>
      </c>
      <c r="D332" s="402" t="s">
        <v>3088</v>
      </c>
      <c r="E332" s="353" t="s">
        <v>1359</v>
      </c>
      <c r="F332" s="353" t="s">
        <v>414</v>
      </c>
      <c r="G332" s="353" t="s">
        <v>414</v>
      </c>
      <c r="H332" s="353" t="s">
        <v>41</v>
      </c>
      <c r="I332" s="353"/>
      <c r="J332" s="353" t="s">
        <v>43</v>
      </c>
      <c r="K332" s="353" t="s">
        <v>43</v>
      </c>
      <c r="L332" s="353" t="s">
        <v>789</v>
      </c>
      <c r="M332" s="353" t="s">
        <v>790</v>
      </c>
      <c r="N332" s="353">
        <v>20.185917</v>
      </c>
      <c r="O332" s="353">
        <v>92.831000000000003</v>
      </c>
      <c r="P332" s="353" t="s">
        <v>756</v>
      </c>
      <c r="Q332" s="353" t="s">
        <v>775</v>
      </c>
      <c r="R332" s="461">
        <v>657</v>
      </c>
      <c r="S332" s="461">
        <v>3906</v>
      </c>
      <c r="T332" s="376"/>
      <c r="U332" s="358"/>
      <c r="V332" s="353" t="s">
        <v>864</v>
      </c>
      <c r="W332" s="356"/>
      <c r="X332" s="457">
        <v>88</v>
      </c>
      <c r="Y332" s="457">
        <v>397</v>
      </c>
      <c r="Z332" s="457">
        <v>485</v>
      </c>
    </row>
    <row r="333" spans="1:26" s="67" customFormat="1" ht="14.25" customHeight="1">
      <c r="A333" s="357" t="s">
        <v>2627</v>
      </c>
      <c r="B333" s="360" t="s">
        <v>294</v>
      </c>
      <c r="C333" s="361" t="s">
        <v>446</v>
      </c>
      <c r="D333" s="355" t="s">
        <v>1635</v>
      </c>
      <c r="E333" s="67">
        <v>196139</v>
      </c>
      <c r="J333" s="67" t="s">
        <v>793</v>
      </c>
      <c r="K333" s="67" t="s">
        <v>793</v>
      </c>
      <c r="L333" s="67" t="s">
        <v>793</v>
      </c>
      <c r="M333" s="67" t="s">
        <v>790</v>
      </c>
      <c r="N333" s="67">
        <v>20.2302</v>
      </c>
      <c r="O333" s="67">
        <v>92.817999999999998</v>
      </c>
      <c r="P333" s="67" t="s">
        <v>794</v>
      </c>
      <c r="Q333" s="67" t="s">
        <v>775</v>
      </c>
      <c r="R333" s="364"/>
      <c r="S333" s="86"/>
      <c r="T333" s="91"/>
      <c r="U333" s="87"/>
      <c r="V333" s="67" t="s">
        <v>446</v>
      </c>
      <c r="W333" s="356"/>
      <c r="X333" s="457"/>
      <c r="Y333" s="457"/>
      <c r="Z333" s="457"/>
    </row>
    <row r="334" spans="1:26" s="67" customFormat="1" ht="14.25" customHeight="1">
      <c r="A334" s="357" t="s">
        <v>2627</v>
      </c>
      <c r="B334" s="360" t="s">
        <v>294</v>
      </c>
      <c r="C334" s="361" t="s">
        <v>1861</v>
      </c>
      <c r="D334" s="355" t="s">
        <v>1855</v>
      </c>
      <c r="F334" s="353"/>
      <c r="J334" s="67" t="s">
        <v>793</v>
      </c>
      <c r="K334" s="353" t="s">
        <v>793</v>
      </c>
      <c r="L334" s="353" t="s">
        <v>793</v>
      </c>
      <c r="P334" s="67" t="s">
        <v>794</v>
      </c>
      <c r="R334" s="364"/>
      <c r="S334" s="357"/>
      <c r="T334" s="91"/>
      <c r="U334" s="87"/>
      <c r="W334" s="356"/>
      <c r="X334" s="457"/>
      <c r="Y334" s="457"/>
      <c r="Z334" s="457"/>
    </row>
    <row r="335" spans="1:26" s="67" customFormat="1" ht="14.25" customHeight="1">
      <c r="A335" s="357" t="s">
        <v>2627</v>
      </c>
      <c r="B335" s="360" t="s">
        <v>294</v>
      </c>
      <c r="C335" s="361" t="s">
        <v>1859</v>
      </c>
      <c r="D335" s="355" t="s">
        <v>1855</v>
      </c>
      <c r="J335" s="67" t="s">
        <v>793</v>
      </c>
      <c r="K335" s="67" t="s">
        <v>793</v>
      </c>
      <c r="L335" s="67" t="s">
        <v>793</v>
      </c>
      <c r="P335" s="67" t="s">
        <v>794</v>
      </c>
      <c r="R335" s="364"/>
      <c r="S335" s="357"/>
      <c r="T335" s="91"/>
      <c r="U335" s="87"/>
      <c r="W335" s="356"/>
      <c r="X335" s="457"/>
      <c r="Y335" s="457"/>
      <c r="Z335" s="457"/>
    </row>
    <row r="336" spans="1:26" s="67" customFormat="1" ht="14.25" customHeight="1">
      <c r="A336" s="357" t="s">
        <v>2627</v>
      </c>
      <c r="B336" s="360" t="s">
        <v>294</v>
      </c>
      <c r="C336" s="361" t="s">
        <v>1998</v>
      </c>
      <c r="D336" s="355"/>
      <c r="J336" s="67" t="s">
        <v>793</v>
      </c>
      <c r="K336" s="353" t="s">
        <v>793</v>
      </c>
      <c r="L336" s="353" t="s">
        <v>793</v>
      </c>
      <c r="P336" s="67" t="s">
        <v>794</v>
      </c>
      <c r="R336" s="364"/>
      <c r="S336" s="357"/>
      <c r="T336" s="91">
        <v>43297</v>
      </c>
      <c r="U336" s="87"/>
      <c r="W336" s="356"/>
      <c r="X336" s="457"/>
      <c r="Y336" s="457"/>
      <c r="Z336" s="457"/>
    </row>
    <row r="337" spans="1:26" s="67" customFormat="1" ht="14.25" customHeight="1">
      <c r="A337" s="357" t="s">
        <v>2627</v>
      </c>
      <c r="B337" s="360" t="s">
        <v>294</v>
      </c>
      <c r="C337" s="361" t="s">
        <v>441</v>
      </c>
      <c r="D337" s="355" t="s">
        <v>1635</v>
      </c>
      <c r="E337" s="67">
        <v>196144</v>
      </c>
      <c r="J337" s="67" t="s">
        <v>793</v>
      </c>
      <c r="K337" s="353" t="s">
        <v>793</v>
      </c>
      <c r="L337" s="353" t="s">
        <v>793</v>
      </c>
      <c r="M337" s="67" t="s">
        <v>790</v>
      </c>
      <c r="N337" s="67">
        <v>20.212700000000002</v>
      </c>
      <c r="O337" s="67">
        <v>92.820800000000006</v>
      </c>
      <c r="P337" s="67" t="s">
        <v>794</v>
      </c>
      <c r="Q337" s="67" t="s">
        <v>775</v>
      </c>
      <c r="R337" s="364"/>
      <c r="S337" s="357"/>
      <c r="T337" s="91"/>
      <c r="U337" s="87"/>
      <c r="V337" s="67" t="s">
        <v>441</v>
      </c>
      <c r="W337" s="356"/>
      <c r="X337" s="457"/>
      <c r="Y337" s="457"/>
      <c r="Z337" s="457"/>
    </row>
    <row r="338" spans="1:26" s="67" customFormat="1" ht="14.25" customHeight="1">
      <c r="A338" s="357" t="s">
        <v>2627</v>
      </c>
      <c r="B338" s="360" t="s">
        <v>294</v>
      </c>
      <c r="C338" s="361" t="s">
        <v>870</v>
      </c>
      <c r="D338" s="355" t="s">
        <v>1635</v>
      </c>
      <c r="E338" s="67">
        <v>196145</v>
      </c>
      <c r="J338" s="67" t="s">
        <v>793</v>
      </c>
      <c r="K338" s="67" t="s">
        <v>793</v>
      </c>
      <c r="L338" s="67" t="s">
        <v>793</v>
      </c>
      <c r="M338" s="67" t="s">
        <v>790</v>
      </c>
      <c r="N338" s="67">
        <v>20.219509120000001</v>
      </c>
      <c r="O338" s="67">
        <v>92.811332699999994</v>
      </c>
      <c r="P338" s="67" t="s">
        <v>794</v>
      </c>
      <c r="Q338" s="67" t="s">
        <v>757</v>
      </c>
      <c r="R338" s="364"/>
      <c r="S338" s="357"/>
      <c r="T338" s="91">
        <v>42811</v>
      </c>
      <c r="U338" s="87"/>
      <c r="W338" s="356"/>
      <c r="X338" s="457"/>
      <c r="Y338" s="457"/>
      <c r="Z338" s="457"/>
    </row>
    <row r="339" spans="1:26" s="67" customFormat="1" ht="14.25" customHeight="1">
      <c r="A339" s="357" t="s">
        <v>2627</v>
      </c>
      <c r="B339" s="360" t="s">
        <v>294</v>
      </c>
      <c r="C339" s="361" t="s">
        <v>450</v>
      </c>
      <c r="D339" s="355" t="s">
        <v>1635</v>
      </c>
      <c r="E339" s="67">
        <v>196178</v>
      </c>
      <c r="J339" s="67" t="s">
        <v>799</v>
      </c>
      <c r="K339" s="67" t="s">
        <v>793</v>
      </c>
      <c r="L339" s="67" t="s">
        <v>799</v>
      </c>
      <c r="M339" s="67" t="s">
        <v>293</v>
      </c>
      <c r="N339" s="67">
        <v>20.26078987</v>
      </c>
      <c r="O339" s="67">
        <v>92.878593440000003</v>
      </c>
      <c r="P339" s="67" t="s">
        <v>918</v>
      </c>
      <c r="Q339" s="67" t="s">
        <v>757</v>
      </c>
      <c r="R339" s="364"/>
      <c r="S339" s="357"/>
      <c r="T339" s="91">
        <v>42811</v>
      </c>
      <c r="U339" s="87"/>
      <c r="W339" s="356"/>
      <c r="X339" s="457"/>
      <c r="Y339" s="457"/>
      <c r="Z339" s="457"/>
    </row>
    <row r="340" spans="1:26" s="67" customFormat="1" ht="14.25" customHeight="1">
      <c r="A340" s="357" t="s">
        <v>2627</v>
      </c>
      <c r="B340" s="360" t="s">
        <v>294</v>
      </c>
      <c r="C340" s="361" t="s">
        <v>440</v>
      </c>
      <c r="D340" s="402" t="s">
        <v>3088</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61">
        <v>777</v>
      </c>
      <c r="S340" s="461">
        <v>4735</v>
      </c>
      <c r="T340" s="91"/>
      <c r="U340" s="87"/>
      <c r="V340" s="67" t="s">
        <v>440</v>
      </c>
      <c r="W340" s="356"/>
      <c r="X340" s="457">
        <v>42</v>
      </c>
      <c r="Y340" s="457">
        <v>432</v>
      </c>
      <c r="Z340" s="457">
        <v>474</v>
      </c>
    </row>
    <row r="341" spans="1:26" s="67" customFormat="1" ht="14.25" customHeight="1">
      <c r="A341" s="357" t="s">
        <v>2627</v>
      </c>
      <c r="B341" s="360" t="s">
        <v>294</v>
      </c>
      <c r="C341" s="361" t="s">
        <v>435</v>
      </c>
      <c r="D341" s="355" t="s">
        <v>1635</v>
      </c>
      <c r="E341" s="67">
        <v>196156</v>
      </c>
      <c r="F341" s="67" t="s">
        <v>1724</v>
      </c>
      <c r="J341" s="67" t="s">
        <v>793</v>
      </c>
      <c r="K341" s="67" t="s">
        <v>793</v>
      </c>
      <c r="L341" s="67" t="s">
        <v>793</v>
      </c>
      <c r="M341" s="67" t="s">
        <v>790</v>
      </c>
      <c r="N341" s="67">
        <v>20.197549819999999</v>
      </c>
      <c r="O341" s="67">
        <v>92.785682679999994</v>
      </c>
      <c r="P341" s="67" t="s">
        <v>794</v>
      </c>
      <c r="Q341" s="67" t="s">
        <v>775</v>
      </c>
      <c r="R341" s="364"/>
      <c r="S341" s="357"/>
      <c r="T341" s="91"/>
      <c r="U341" s="87"/>
      <c r="V341" s="67" t="s">
        <v>435</v>
      </c>
      <c r="W341" s="356"/>
      <c r="X341" s="457"/>
      <c r="Y341" s="457"/>
      <c r="Z341" s="457"/>
    </row>
    <row r="342" spans="1:26" s="67" customFormat="1" ht="14.25" customHeight="1">
      <c r="A342" s="357" t="s">
        <v>2627</v>
      </c>
      <c r="B342" s="360" t="s">
        <v>294</v>
      </c>
      <c r="C342" s="361" t="s">
        <v>431</v>
      </c>
      <c r="D342" s="402" t="s">
        <v>3088</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61">
        <v>2640</v>
      </c>
      <c r="S342" s="461">
        <v>15778</v>
      </c>
      <c r="T342" s="91"/>
      <c r="U342" s="87"/>
      <c r="V342" s="67" t="s">
        <v>865</v>
      </c>
      <c r="W342" s="356"/>
      <c r="X342" s="457">
        <v>168</v>
      </c>
      <c r="Y342" s="457">
        <v>1744</v>
      </c>
      <c r="Z342" s="457">
        <v>1912</v>
      </c>
    </row>
    <row r="343" spans="1:26" s="67" customFormat="1" ht="14.25" customHeight="1">
      <c r="A343" s="357" t="s">
        <v>2627</v>
      </c>
      <c r="B343" s="360" t="s">
        <v>294</v>
      </c>
      <c r="C343" s="361" t="s">
        <v>429</v>
      </c>
      <c r="D343" s="402" t="s">
        <v>3088</v>
      </c>
      <c r="E343" s="67" t="s">
        <v>1358</v>
      </c>
      <c r="F343" s="353" t="s">
        <v>1642</v>
      </c>
      <c r="G343" s="67" t="s">
        <v>1668</v>
      </c>
      <c r="H343" s="67" t="s">
        <v>41</v>
      </c>
      <c r="J343" s="67" t="s">
        <v>43</v>
      </c>
      <c r="K343" s="67" t="s">
        <v>43</v>
      </c>
      <c r="L343" s="67" t="s">
        <v>789</v>
      </c>
      <c r="M343" s="67" t="s">
        <v>790</v>
      </c>
      <c r="N343" s="67">
        <v>20.185092000000001</v>
      </c>
      <c r="O343" s="67">
        <v>92.802295999999998</v>
      </c>
      <c r="P343" s="67" t="s">
        <v>756</v>
      </c>
      <c r="Q343" s="67" t="s">
        <v>775</v>
      </c>
      <c r="R343" s="461">
        <v>2275</v>
      </c>
      <c r="S343" s="461">
        <v>12341</v>
      </c>
      <c r="T343" s="91"/>
      <c r="U343" s="87"/>
      <c r="V343" s="67" t="s">
        <v>863</v>
      </c>
      <c r="W343" s="356"/>
      <c r="X343" s="457">
        <v>223</v>
      </c>
      <c r="Y343" s="457">
        <v>1507</v>
      </c>
      <c r="Z343" s="457">
        <v>1730</v>
      </c>
    </row>
    <row r="344" spans="1:26" s="67" customFormat="1" ht="14.25" customHeight="1">
      <c r="A344" s="357" t="s">
        <v>2627</v>
      </c>
      <c r="B344" s="360" t="s">
        <v>294</v>
      </c>
      <c r="C344" s="361" t="s">
        <v>439</v>
      </c>
      <c r="D344" s="355" t="s">
        <v>1635</v>
      </c>
      <c r="E344" s="353">
        <v>196158</v>
      </c>
      <c r="F344" s="353"/>
      <c r="G344" s="353"/>
      <c r="H344" s="353"/>
      <c r="I344" s="353"/>
      <c r="J344" s="353" t="s">
        <v>799</v>
      </c>
      <c r="K344" s="67" t="s">
        <v>793</v>
      </c>
      <c r="L344" s="67" t="s">
        <v>799</v>
      </c>
      <c r="M344" s="67" t="s">
        <v>790</v>
      </c>
      <c r="N344" s="353">
        <v>20.2043705</v>
      </c>
      <c r="O344" s="353">
        <v>92.780357359999996</v>
      </c>
      <c r="P344" s="67" t="s">
        <v>918</v>
      </c>
      <c r="Q344" s="353" t="s">
        <v>757</v>
      </c>
      <c r="R344" s="364"/>
      <c r="S344" s="357"/>
      <c r="T344" s="376">
        <v>42811</v>
      </c>
      <c r="U344" s="358"/>
      <c r="V344" s="353"/>
      <c r="W344" s="356"/>
      <c r="X344" s="457"/>
      <c r="Y344" s="457"/>
      <c r="Z344" s="457"/>
    </row>
    <row r="345" spans="1:26" s="67" customFormat="1" ht="14.25" customHeight="1">
      <c r="A345" s="357" t="s">
        <v>2627</v>
      </c>
      <c r="B345" s="354" t="s">
        <v>294</v>
      </c>
      <c r="C345" s="354" t="s">
        <v>2566</v>
      </c>
      <c r="D345" s="402"/>
      <c r="E345" s="353">
        <v>220593</v>
      </c>
      <c r="F345" s="354" t="s">
        <v>449</v>
      </c>
      <c r="J345" s="67" t="s">
        <v>793</v>
      </c>
      <c r="K345" s="354" t="s">
        <v>793</v>
      </c>
      <c r="L345" s="354" t="s">
        <v>793</v>
      </c>
      <c r="N345" s="67">
        <v>20.261358000000001</v>
      </c>
      <c r="O345" s="67">
        <v>92.805672999999999</v>
      </c>
      <c r="R345" s="85"/>
      <c r="S345" s="462"/>
      <c r="T345" s="91"/>
      <c r="U345" s="87"/>
      <c r="W345" s="356"/>
      <c r="X345" s="457"/>
      <c r="Y345" s="457"/>
      <c r="Z345" s="457"/>
    </row>
    <row r="346" spans="1:26" s="67" customFormat="1" ht="14.25" customHeight="1">
      <c r="A346" s="357" t="s">
        <v>2627</v>
      </c>
      <c r="B346" s="360" t="s">
        <v>294</v>
      </c>
      <c r="C346" s="361" t="s">
        <v>834</v>
      </c>
      <c r="D346" s="355" t="s">
        <v>1635</v>
      </c>
      <c r="E346" s="353">
        <v>196142</v>
      </c>
      <c r="F346" s="353"/>
      <c r="J346" s="67" t="s">
        <v>793</v>
      </c>
      <c r="K346" s="353" t="s">
        <v>793</v>
      </c>
      <c r="L346" s="353" t="s">
        <v>793</v>
      </c>
      <c r="M346" s="67" t="s">
        <v>790</v>
      </c>
      <c r="N346" s="67">
        <v>20.122990000000001</v>
      </c>
      <c r="O346" s="67">
        <v>92.474298000000005</v>
      </c>
      <c r="P346" s="67" t="s">
        <v>794</v>
      </c>
      <c r="R346" s="364"/>
      <c r="S346" s="357"/>
      <c r="T346" s="91"/>
      <c r="U346" s="87"/>
      <c r="V346" s="67" t="s">
        <v>834</v>
      </c>
      <c r="W346" s="356"/>
      <c r="X346" s="457"/>
      <c r="Y346" s="457"/>
      <c r="Z346" s="457"/>
    </row>
    <row r="347" spans="1:26" s="67" customFormat="1" ht="14.25" customHeight="1">
      <c r="A347" s="357" t="s">
        <v>2627</v>
      </c>
      <c r="B347" s="360" t="s">
        <v>294</v>
      </c>
      <c r="C347" s="361" t="s">
        <v>836</v>
      </c>
      <c r="D347" s="355" t="s">
        <v>1635</v>
      </c>
      <c r="E347" s="353">
        <v>196141</v>
      </c>
      <c r="F347" s="353"/>
      <c r="G347" s="353"/>
      <c r="H347" s="353"/>
      <c r="I347" s="353"/>
      <c r="J347" s="353" t="s">
        <v>793</v>
      </c>
      <c r="K347" s="67" t="s">
        <v>793</v>
      </c>
      <c r="L347" s="353" t="s">
        <v>793</v>
      </c>
      <c r="M347" s="67" t="s">
        <v>293</v>
      </c>
      <c r="N347" s="353">
        <v>20.131148</v>
      </c>
      <c r="O347" s="353">
        <v>92.462236000000004</v>
      </c>
      <c r="P347" s="67" t="s">
        <v>794</v>
      </c>
      <c r="Q347" s="353"/>
      <c r="R347" s="364"/>
      <c r="S347" s="357"/>
      <c r="T347" s="376"/>
      <c r="U347" s="358"/>
      <c r="V347" s="353" t="s">
        <v>836</v>
      </c>
      <c r="W347" s="356"/>
      <c r="X347" s="457"/>
      <c r="Y347" s="457"/>
      <c r="Z347" s="457"/>
    </row>
    <row r="348" spans="1:26" s="67" customFormat="1" ht="14.25" customHeight="1">
      <c r="A348" s="357" t="s">
        <v>2627</v>
      </c>
      <c r="B348" s="360" t="s">
        <v>294</v>
      </c>
      <c r="C348" s="361" t="s">
        <v>837</v>
      </c>
      <c r="D348" s="355" t="s">
        <v>1635</v>
      </c>
      <c r="E348" s="353">
        <v>196141</v>
      </c>
      <c r="F348" s="353"/>
      <c r="G348" s="353"/>
      <c r="H348" s="353"/>
      <c r="I348" s="353"/>
      <c r="J348" s="353" t="s">
        <v>793</v>
      </c>
      <c r="K348" s="67" t="s">
        <v>793</v>
      </c>
      <c r="L348" s="67" t="s">
        <v>793</v>
      </c>
      <c r="M348" s="67" t="s">
        <v>293</v>
      </c>
      <c r="N348" s="353">
        <v>20.131148</v>
      </c>
      <c r="O348" s="353">
        <v>92.462236000000004</v>
      </c>
      <c r="P348" s="67" t="s">
        <v>794</v>
      </c>
      <c r="Q348" s="353"/>
      <c r="R348" s="364"/>
      <c r="S348" s="357"/>
      <c r="T348" s="376"/>
      <c r="U348" s="358"/>
      <c r="V348" s="353" t="s">
        <v>837</v>
      </c>
      <c r="W348" s="356"/>
      <c r="X348" s="457"/>
      <c r="Y348" s="457"/>
      <c r="Z348" s="457"/>
    </row>
    <row r="349" spans="1:26" s="67" customFormat="1" ht="14.25" customHeight="1">
      <c r="A349" s="357" t="s">
        <v>2627</v>
      </c>
      <c r="B349" s="360" t="s">
        <v>294</v>
      </c>
      <c r="C349" s="361" t="s">
        <v>299</v>
      </c>
      <c r="D349" s="355" t="s">
        <v>1635</v>
      </c>
      <c r="E349" s="353"/>
      <c r="J349" s="353" t="s">
        <v>793</v>
      </c>
      <c r="K349" s="353" t="s">
        <v>793</v>
      </c>
      <c r="L349" s="353" t="s">
        <v>793</v>
      </c>
      <c r="M349" s="67" t="s">
        <v>790</v>
      </c>
      <c r="P349" s="67" t="s">
        <v>794</v>
      </c>
      <c r="Q349" s="67" t="s">
        <v>775</v>
      </c>
      <c r="R349" s="364"/>
      <c r="S349" s="357"/>
      <c r="T349" s="91"/>
      <c r="U349" s="87"/>
      <c r="V349" s="67" t="s">
        <v>868</v>
      </c>
      <c r="W349" s="356"/>
      <c r="X349" s="457"/>
      <c r="Y349" s="457"/>
      <c r="Z349" s="457"/>
    </row>
    <row r="350" spans="1:26" s="67" customFormat="1" ht="14.25" customHeight="1">
      <c r="A350" s="357" t="s">
        <v>2627</v>
      </c>
      <c r="B350" s="360" t="s">
        <v>294</v>
      </c>
      <c r="C350" s="361" t="s">
        <v>2273</v>
      </c>
      <c r="D350" s="355"/>
      <c r="E350" s="353" t="s">
        <v>1361</v>
      </c>
      <c r="F350" s="67" t="s">
        <v>1643</v>
      </c>
      <c r="G350" s="67" t="s">
        <v>1644</v>
      </c>
      <c r="J350" s="67" t="s">
        <v>43</v>
      </c>
      <c r="K350" s="67" t="s">
        <v>43</v>
      </c>
      <c r="L350" s="67" t="s">
        <v>789</v>
      </c>
      <c r="M350" s="67" t="s">
        <v>790</v>
      </c>
      <c r="N350" s="67">
        <v>20.207284999999999</v>
      </c>
      <c r="O350" s="67">
        <v>92.788177000000005</v>
      </c>
      <c r="P350" s="67" t="s">
        <v>756</v>
      </c>
      <c r="Q350" s="67" t="s">
        <v>775</v>
      </c>
      <c r="R350" s="364"/>
      <c r="S350" s="357"/>
      <c r="T350" s="91">
        <v>43488</v>
      </c>
      <c r="U350" s="87"/>
      <c r="V350" s="67" t="s">
        <v>868</v>
      </c>
      <c r="W350" s="356"/>
      <c r="X350" s="457"/>
      <c r="Y350" s="457"/>
      <c r="Z350" s="457"/>
    </row>
    <row r="351" spans="1:26" s="67" customFormat="1" ht="14.25" customHeight="1">
      <c r="A351" s="357" t="s">
        <v>2627</v>
      </c>
      <c r="B351" s="360" t="s">
        <v>294</v>
      </c>
      <c r="C351" s="361" t="s">
        <v>838</v>
      </c>
      <c r="D351" s="355" t="s">
        <v>1635</v>
      </c>
      <c r="E351" s="353">
        <v>196130</v>
      </c>
      <c r="J351" s="67" t="s">
        <v>793</v>
      </c>
      <c r="K351" s="67" t="s">
        <v>793</v>
      </c>
      <c r="L351" s="67" t="s">
        <v>793</v>
      </c>
      <c r="M351" s="67" t="s">
        <v>293</v>
      </c>
      <c r="N351" s="67">
        <v>20.142474</v>
      </c>
      <c r="O351" s="67">
        <v>92.494243999999995</v>
      </c>
      <c r="P351" s="67" t="s">
        <v>794</v>
      </c>
      <c r="R351" s="364"/>
      <c r="S351" s="357"/>
      <c r="T351" s="91"/>
      <c r="U351" s="87"/>
      <c r="V351" s="67" t="s">
        <v>838</v>
      </c>
      <c r="W351" s="356"/>
      <c r="X351" s="457"/>
      <c r="Y351" s="457"/>
      <c r="Z351" s="457"/>
    </row>
    <row r="352" spans="1:26" s="67" customFormat="1" ht="14.25" customHeight="1">
      <c r="A352" s="357" t="s">
        <v>2627</v>
      </c>
      <c r="B352" s="354" t="s">
        <v>294</v>
      </c>
      <c r="C352" s="354" t="s">
        <v>2565</v>
      </c>
      <c r="D352" s="402"/>
      <c r="E352" s="353">
        <v>196130</v>
      </c>
      <c r="J352" s="67" t="s">
        <v>793</v>
      </c>
      <c r="K352" s="354" t="s">
        <v>793</v>
      </c>
      <c r="L352" s="354" t="s">
        <v>793</v>
      </c>
      <c r="M352" s="353" t="s">
        <v>293</v>
      </c>
      <c r="N352" s="353">
        <v>20.142474</v>
      </c>
      <c r="O352" s="353">
        <v>92.494243999999995</v>
      </c>
      <c r="P352" s="353" t="s">
        <v>794</v>
      </c>
      <c r="R352" s="360"/>
      <c r="S352" s="361"/>
      <c r="T352" s="91"/>
      <c r="U352" s="87"/>
      <c r="W352" s="356"/>
      <c r="X352" s="457"/>
      <c r="Y352" s="457"/>
      <c r="Z352" s="457"/>
    </row>
    <row r="353" spans="1:26" s="67" customFormat="1" ht="14.25" customHeight="1">
      <c r="A353" s="357" t="s">
        <v>2627</v>
      </c>
      <c r="B353" s="360" t="s">
        <v>294</v>
      </c>
      <c r="C353" s="361" t="s">
        <v>1996</v>
      </c>
      <c r="D353" s="355"/>
      <c r="E353" s="67">
        <v>196162</v>
      </c>
      <c r="F353" s="67" t="s">
        <v>1995</v>
      </c>
      <c r="J353" s="67" t="s">
        <v>793</v>
      </c>
      <c r="K353" s="67" t="s">
        <v>793</v>
      </c>
      <c r="L353" s="67" t="s">
        <v>793</v>
      </c>
      <c r="M353" s="67" t="s">
        <v>790</v>
      </c>
      <c r="N353" s="67">
        <v>20.239929199999999</v>
      </c>
      <c r="O353" s="67">
        <v>92.827529909999996</v>
      </c>
      <c r="P353" s="67" t="s">
        <v>794</v>
      </c>
      <c r="R353" s="364"/>
      <c r="S353" s="357"/>
      <c r="T353" s="91">
        <v>43294</v>
      </c>
      <c r="U353" s="87"/>
      <c r="W353" s="356"/>
      <c r="X353" s="457"/>
      <c r="Y353" s="457"/>
      <c r="Z353" s="457"/>
    </row>
    <row r="354" spans="1:26" s="67" customFormat="1" ht="14.25" customHeight="1">
      <c r="A354" s="357" t="s">
        <v>2627</v>
      </c>
      <c r="B354" s="354" t="s">
        <v>294</v>
      </c>
      <c r="C354" s="354" t="s">
        <v>2567</v>
      </c>
      <c r="D354" s="402"/>
      <c r="E354" s="354">
        <v>196131</v>
      </c>
      <c r="F354" s="354" t="s">
        <v>873</v>
      </c>
      <c r="J354" s="67" t="s">
        <v>793</v>
      </c>
      <c r="K354" s="354" t="s">
        <v>793</v>
      </c>
      <c r="L354" s="354" t="s">
        <v>793</v>
      </c>
      <c r="N354" s="67">
        <v>20.239799499511701</v>
      </c>
      <c r="O354" s="67">
        <v>92.825088500976605</v>
      </c>
      <c r="R354" s="356"/>
      <c r="S354" s="357"/>
      <c r="T354" s="91"/>
      <c r="U354" s="87"/>
      <c r="W354" s="356"/>
      <c r="X354" s="457"/>
      <c r="Y354" s="457"/>
      <c r="Z354" s="457"/>
    </row>
    <row r="355" spans="1:26" s="67" customFormat="1" ht="14.25" customHeight="1">
      <c r="A355" s="357" t="s">
        <v>2627</v>
      </c>
      <c r="B355" s="354" t="s">
        <v>294</v>
      </c>
      <c r="C355" s="354" t="s">
        <v>2570</v>
      </c>
      <c r="D355" s="355"/>
      <c r="J355" s="67" t="s">
        <v>793</v>
      </c>
      <c r="K355" s="354" t="s">
        <v>793</v>
      </c>
      <c r="L355" s="354" t="s">
        <v>793</v>
      </c>
      <c r="R355" s="354"/>
      <c r="S355" s="466"/>
      <c r="T355" s="91"/>
      <c r="U355" s="87"/>
      <c r="W355" s="356"/>
      <c r="X355" s="457"/>
      <c r="Y355" s="457"/>
      <c r="Z355" s="457"/>
    </row>
    <row r="356" spans="1:26" s="67" customFormat="1" ht="14.25" customHeight="1">
      <c r="A356" s="357" t="s">
        <v>2627</v>
      </c>
      <c r="B356" s="360" t="s">
        <v>294</v>
      </c>
      <c r="C356" s="361" t="s">
        <v>844</v>
      </c>
      <c r="D356" s="355" t="s">
        <v>1636</v>
      </c>
      <c r="E356" s="67" t="s">
        <v>1341</v>
      </c>
      <c r="F356" s="67" t="s">
        <v>1665</v>
      </c>
      <c r="G356" s="67" t="s">
        <v>1666</v>
      </c>
      <c r="J356" s="67" t="s">
        <v>43</v>
      </c>
      <c r="K356" s="353" t="s">
        <v>43</v>
      </c>
      <c r="L356" s="353" t="s">
        <v>755</v>
      </c>
      <c r="M356" s="67" t="s">
        <v>293</v>
      </c>
      <c r="N356" s="67">
        <v>20.151471999999998</v>
      </c>
      <c r="O356" s="67">
        <v>92.887277999999995</v>
      </c>
      <c r="P356" s="67" t="s">
        <v>756</v>
      </c>
      <c r="R356" s="364"/>
      <c r="S356" s="357"/>
      <c r="T356" s="91"/>
      <c r="U356" s="87"/>
      <c r="V356" s="67" t="s">
        <v>844</v>
      </c>
      <c r="W356" s="356"/>
      <c r="X356" s="457"/>
      <c r="Y356" s="457"/>
      <c r="Z356" s="457"/>
    </row>
    <row r="357" spans="1:26" s="67" customFormat="1" ht="14.25" customHeight="1">
      <c r="A357" s="357" t="s">
        <v>2627</v>
      </c>
      <c r="B357" s="360" t="s">
        <v>294</v>
      </c>
      <c r="C357" s="361" t="s">
        <v>417</v>
      </c>
      <c r="D357" s="402" t="s">
        <v>2689</v>
      </c>
      <c r="E357" s="67" t="s">
        <v>1342</v>
      </c>
      <c r="F357" s="67" t="s">
        <v>1665</v>
      </c>
      <c r="G357" s="67" t="s">
        <v>1666</v>
      </c>
      <c r="J357" s="67" t="s">
        <v>793</v>
      </c>
      <c r="K357" s="67" t="s">
        <v>793</v>
      </c>
      <c r="L357" s="353" t="s">
        <v>816</v>
      </c>
      <c r="M357" s="67" t="s">
        <v>293</v>
      </c>
      <c r="N357" s="67">
        <v>20.151471999999998</v>
      </c>
      <c r="O357" s="67">
        <v>92.887277999999995</v>
      </c>
      <c r="P357" s="353" t="s">
        <v>794</v>
      </c>
      <c r="Q357" s="67" t="s">
        <v>775</v>
      </c>
      <c r="R357" s="85"/>
      <c r="S357" s="357"/>
      <c r="T357" s="91"/>
      <c r="U357" s="87"/>
      <c r="V357" s="67" t="s">
        <v>417</v>
      </c>
      <c r="W357" s="356"/>
      <c r="X357" s="457"/>
      <c r="Y357" s="457"/>
      <c r="Z357" s="457"/>
    </row>
    <row r="358" spans="1:26" s="67" customFormat="1" ht="14.25" customHeight="1">
      <c r="A358" s="357" t="s">
        <v>2627</v>
      </c>
      <c r="B358" s="360" t="s">
        <v>294</v>
      </c>
      <c r="C358" s="361" t="s">
        <v>418</v>
      </c>
      <c r="D358" s="402" t="s">
        <v>2689</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6"/>
      <c r="S358" s="357"/>
      <c r="T358" s="91"/>
      <c r="U358" s="87"/>
      <c r="V358" s="67" t="s">
        <v>418</v>
      </c>
      <c r="W358" s="356"/>
      <c r="X358" s="457"/>
      <c r="Y358" s="457"/>
      <c r="Z358" s="457"/>
    </row>
    <row r="359" spans="1:26" s="67" customFormat="1" ht="14.25" customHeight="1">
      <c r="A359" s="357" t="s">
        <v>2627</v>
      </c>
      <c r="B359" s="465" t="s">
        <v>294</v>
      </c>
      <c r="C359" s="361" t="s">
        <v>438</v>
      </c>
      <c r="D359" s="402" t="s">
        <v>3088</v>
      </c>
      <c r="E359" s="353" t="s">
        <v>1361</v>
      </c>
      <c r="F359" s="353" t="s">
        <v>1724</v>
      </c>
      <c r="G359" s="353" t="s">
        <v>438</v>
      </c>
      <c r="H359" s="353" t="s">
        <v>41</v>
      </c>
      <c r="I359" s="353"/>
      <c r="J359" s="353" t="s">
        <v>43</v>
      </c>
      <c r="K359" s="457" t="s">
        <v>43</v>
      </c>
      <c r="L359" s="457" t="s">
        <v>789</v>
      </c>
      <c r="M359" s="353" t="s">
        <v>790</v>
      </c>
      <c r="N359" s="353">
        <v>20.202525000000001</v>
      </c>
      <c r="O359" s="353">
        <v>92.792479999999998</v>
      </c>
      <c r="P359" s="353" t="s">
        <v>756</v>
      </c>
      <c r="Q359" s="353" t="s">
        <v>775</v>
      </c>
      <c r="R359" s="461">
        <v>2678</v>
      </c>
      <c r="S359" s="461">
        <v>14788</v>
      </c>
      <c r="T359" s="376"/>
      <c r="U359" s="358"/>
      <c r="V359" s="353" t="s">
        <v>438</v>
      </c>
      <c r="W359" s="356"/>
      <c r="X359" s="457">
        <v>114</v>
      </c>
      <c r="Y359" s="457">
        <v>1144</v>
      </c>
      <c r="Z359" s="457">
        <v>1258</v>
      </c>
    </row>
    <row r="360" spans="1:26" s="67" customFormat="1" ht="14.25" customHeight="1">
      <c r="A360" s="357" t="s">
        <v>2627</v>
      </c>
      <c r="B360" s="459" t="s">
        <v>294</v>
      </c>
      <c r="C360" s="361" t="s">
        <v>436</v>
      </c>
      <c r="D360" s="402"/>
      <c r="E360" s="67">
        <v>196154</v>
      </c>
      <c r="J360" s="67" t="s">
        <v>793</v>
      </c>
      <c r="K360" s="459" t="s">
        <v>793</v>
      </c>
      <c r="L360" s="459" t="s">
        <v>793</v>
      </c>
      <c r="R360" s="356"/>
      <c r="S360" s="462"/>
      <c r="T360" s="91"/>
      <c r="U360" s="87"/>
      <c r="W360" s="356"/>
      <c r="X360" s="457"/>
      <c r="Y360" s="457"/>
      <c r="Z360" s="457"/>
    </row>
    <row r="361" spans="1:26" s="67" customFormat="1" ht="14.25" customHeight="1">
      <c r="A361" s="357" t="s">
        <v>2627</v>
      </c>
      <c r="B361" s="360" t="s">
        <v>294</v>
      </c>
      <c r="C361" s="361" t="s">
        <v>436</v>
      </c>
      <c r="D361" s="355" t="s">
        <v>1635</v>
      </c>
      <c r="E361" s="67">
        <v>196154</v>
      </c>
      <c r="J361" s="67" t="s">
        <v>793</v>
      </c>
      <c r="K361" s="67" t="s">
        <v>793</v>
      </c>
      <c r="L361" s="67" t="s">
        <v>793</v>
      </c>
      <c r="M361" s="67" t="s">
        <v>790</v>
      </c>
      <c r="N361" s="67">
        <v>20.201499999999999</v>
      </c>
      <c r="O361" s="67">
        <v>92.796599999999998</v>
      </c>
      <c r="P361" s="67" t="s">
        <v>794</v>
      </c>
      <c r="Q361" s="67" t="s">
        <v>775</v>
      </c>
      <c r="R361" s="364"/>
      <c r="S361" s="357"/>
      <c r="T361" s="91">
        <v>42745</v>
      </c>
      <c r="U361" s="87"/>
      <c r="W361" s="356"/>
      <c r="X361" s="457"/>
      <c r="Y361" s="457"/>
      <c r="Z361" s="457"/>
    </row>
    <row r="362" spans="1:26" s="67" customFormat="1" ht="14.25" customHeight="1">
      <c r="A362" s="357" t="s">
        <v>2627</v>
      </c>
      <c r="B362" s="360" t="s">
        <v>294</v>
      </c>
      <c r="C362" s="361" t="s">
        <v>432</v>
      </c>
      <c r="D362" s="355" t="s">
        <v>1635</v>
      </c>
      <c r="E362" s="67">
        <v>196155</v>
      </c>
      <c r="J362" s="67" t="s">
        <v>793</v>
      </c>
      <c r="K362" s="67" t="s">
        <v>793</v>
      </c>
      <c r="L362" s="67" t="s">
        <v>793</v>
      </c>
      <c r="M362" s="67" t="s">
        <v>790</v>
      </c>
      <c r="N362" s="67">
        <v>20.19171906</v>
      </c>
      <c r="O362" s="67">
        <v>92.808166499999999</v>
      </c>
      <c r="P362" s="67" t="s">
        <v>794</v>
      </c>
      <c r="Q362" s="67" t="s">
        <v>775</v>
      </c>
      <c r="R362" s="364"/>
      <c r="S362" s="357"/>
      <c r="T362" s="91"/>
      <c r="U362" s="87"/>
      <c r="V362" s="67" t="s">
        <v>432</v>
      </c>
      <c r="W362" s="356"/>
      <c r="X362" s="457"/>
      <c r="Y362" s="457"/>
      <c r="Z362" s="457"/>
    </row>
    <row r="363" spans="1:26" s="67" customFormat="1" ht="14.25" customHeight="1">
      <c r="A363" s="357" t="s">
        <v>2627</v>
      </c>
      <c r="B363" s="360" t="s">
        <v>294</v>
      </c>
      <c r="C363" s="361" t="s">
        <v>415</v>
      </c>
      <c r="D363" s="402" t="s">
        <v>2689</v>
      </c>
      <c r="E363" s="353" t="s">
        <v>1340</v>
      </c>
      <c r="F363" s="353" t="s">
        <v>1853</v>
      </c>
      <c r="G363" s="353" t="s">
        <v>1853</v>
      </c>
      <c r="H363" s="353"/>
      <c r="I363" s="353"/>
      <c r="J363" s="353" t="s">
        <v>793</v>
      </c>
      <c r="K363" s="353" t="s">
        <v>793</v>
      </c>
      <c r="L363" s="353" t="s">
        <v>816</v>
      </c>
      <c r="M363" s="353" t="s">
        <v>841</v>
      </c>
      <c r="N363" s="353">
        <v>20.148584</v>
      </c>
      <c r="O363" s="353">
        <v>92.880319999999998</v>
      </c>
      <c r="P363" s="353" t="s">
        <v>794</v>
      </c>
      <c r="Q363" s="353" t="s">
        <v>775</v>
      </c>
      <c r="R363" s="356"/>
      <c r="S363" s="357"/>
      <c r="T363" s="376"/>
      <c r="U363" s="358"/>
      <c r="V363" s="353" t="s">
        <v>415</v>
      </c>
      <c r="W363" s="356"/>
      <c r="X363" s="457"/>
      <c r="Y363" s="457"/>
      <c r="Z363" s="457"/>
    </row>
    <row r="364" spans="1:26" s="67" customFormat="1" ht="14.25" customHeight="1">
      <c r="A364" s="357" t="s">
        <v>2627</v>
      </c>
      <c r="B364" s="360" t="s">
        <v>294</v>
      </c>
      <c r="C364" s="361" t="s">
        <v>1877</v>
      </c>
      <c r="D364" s="402" t="s">
        <v>2689</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6"/>
      <c r="S364" s="357"/>
      <c r="T364" s="91"/>
      <c r="U364" s="87"/>
      <c r="V364" s="67" t="s">
        <v>419</v>
      </c>
      <c r="W364" s="356"/>
      <c r="X364" s="457"/>
      <c r="Y364" s="457"/>
      <c r="Z364" s="457"/>
    </row>
    <row r="365" spans="1:26" s="67" customFormat="1" ht="14.25" customHeight="1">
      <c r="A365" s="357" t="s">
        <v>2627</v>
      </c>
      <c r="B365" s="360" t="s">
        <v>294</v>
      </c>
      <c r="C365" s="361" t="s">
        <v>1992</v>
      </c>
      <c r="D365" s="355"/>
      <c r="E365" s="67">
        <v>196179</v>
      </c>
      <c r="F365" s="67" t="s">
        <v>1992</v>
      </c>
      <c r="J365" s="67" t="s">
        <v>793</v>
      </c>
      <c r="K365" s="67" t="s">
        <v>793</v>
      </c>
      <c r="L365" s="67" t="s">
        <v>793</v>
      </c>
      <c r="M365" s="67" t="s">
        <v>1885</v>
      </c>
      <c r="N365" s="67">
        <v>20.236970899999999</v>
      </c>
      <c r="O365" s="67">
        <v>92.877876279999995</v>
      </c>
      <c r="P365" s="67" t="s">
        <v>794</v>
      </c>
      <c r="R365" s="364"/>
      <c r="S365" s="357"/>
      <c r="T365" s="91">
        <v>43294</v>
      </c>
      <c r="U365" s="87"/>
      <c r="W365" s="356"/>
      <c r="X365" s="457"/>
      <c r="Y365" s="457"/>
      <c r="Z365" s="457"/>
    </row>
    <row r="366" spans="1:26" s="67" customFormat="1" ht="14.25" customHeight="1">
      <c r="A366" s="357" t="s">
        <v>2627</v>
      </c>
      <c r="B366" s="360" t="s">
        <v>294</v>
      </c>
      <c r="C366" s="361" t="s">
        <v>421</v>
      </c>
      <c r="D366" s="402" t="s">
        <v>3088</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61">
        <v>2062</v>
      </c>
      <c r="S366" s="461">
        <v>12522</v>
      </c>
      <c r="T366" s="91"/>
      <c r="U366" s="87"/>
      <c r="V366" s="67" t="s">
        <v>851</v>
      </c>
      <c r="W366" s="356"/>
      <c r="X366" s="457">
        <v>365</v>
      </c>
      <c r="Y366" s="457">
        <v>800</v>
      </c>
      <c r="Z366" s="457">
        <v>1165</v>
      </c>
    </row>
    <row r="367" spans="1:26" s="67" customFormat="1" ht="14.25" customHeight="1">
      <c r="A367" s="357" t="s">
        <v>2627</v>
      </c>
      <c r="B367" s="360" t="s">
        <v>294</v>
      </c>
      <c r="C367" s="361" t="s">
        <v>847</v>
      </c>
      <c r="D367" s="355" t="s">
        <v>1636</v>
      </c>
      <c r="E367" s="353" t="s">
        <v>1346</v>
      </c>
      <c r="F367" s="353" t="s">
        <v>414</v>
      </c>
      <c r="G367" s="353" t="s">
        <v>420</v>
      </c>
      <c r="H367" s="353"/>
      <c r="J367" s="67" t="s">
        <v>43</v>
      </c>
      <c r="K367" s="67" t="s">
        <v>43</v>
      </c>
      <c r="L367" s="353" t="s">
        <v>755</v>
      </c>
      <c r="N367" s="353">
        <v>20.156842000000001</v>
      </c>
      <c r="O367" s="353">
        <v>92.837576999999996</v>
      </c>
      <c r="P367" s="353" t="s">
        <v>756</v>
      </c>
      <c r="R367" s="364"/>
      <c r="S367" s="357"/>
      <c r="T367" s="91"/>
      <c r="U367" s="358"/>
      <c r="V367" s="353" t="s">
        <v>848</v>
      </c>
      <c r="W367" s="356"/>
      <c r="X367" s="457"/>
      <c r="Y367" s="457"/>
      <c r="Z367" s="457"/>
    </row>
    <row r="368" spans="1:26" s="67" customFormat="1" ht="14.25" customHeight="1">
      <c r="A368" s="357" t="s">
        <v>2627</v>
      </c>
      <c r="B368" s="360" t="s">
        <v>294</v>
      </c>
      <c r="C368" s="361" t="s">
        <v>688</v>
      </c>
      <c r="D368" s="355" t="s">
        <v>1635</v>
      </c>
      <c r="E368" s="67">
        <v>196210</v>
      </c>
      <c r="J368" s="67" t="s">
        <v>793</v>
      </c>
      <c r="K368" s="67" t="s">
        <v>793</v>
      </c>
      <c r="L368" s="67" t="s">
        <v>793</v>
      </c>
      <c r="M368" s="67" t="s">
        <v>293</v>
      </c>
      <c r="N368" s="67">
        <v>20.16259956</v>
      </c>
      <c r="O368" s="67">
        <v>92.834457400000005</v>
      </c>
      <c r="P368" s="67" t="s">
        <v>794</v>
      </c>
      <c r="Q368" s="67" t="s">
        <v>775</v>
      </c>
      <c r="R368" s="364"/>
      <c r="S368" s="357"/>
      <c r="T368" s="91"/>
      <c r="U368" s="87"/>
      <c r="W368" s="356"/>
      <c r="X368" s="457"/>
      <c r="Y368" s="457"/>
      <c r="Z368" s="457"/>
    </row>
    <row r="369" spans="1:26" s="67" customFormat="1" ht="14.25" customHeight="1">
      <c r="A369" s="357" t="s">
        <v>2627</v>
      </c>
      <c r="B369" s="360" t="s">
        <v>294</v>
      </c>
      <c r="C369" s="361" t="s">
        <v>300</v>
      </c>
      <c r="D369" s="355" t="s">
        <v>1635</v>
      </c>
      <c r="E369" s="353"/>
      <c r="F369" s="353"/>
      <c r="G369" s="353"/>
      <c r="H369" s="353"/>
      <c r="J369" s="67" t="s">
        <v>793</v>
      </c>
      <c r="K369" s="67" t="s">
        <v>793</v>
      </c>
      <c r="L369" s="353" t="s">
        <v>793</v>
      </c>
      <c r="M369" s="67" t="s">
        <v>790</v>
      </c>
      <c r="N369" s="353"/>
      <c r="O369" s="353"/>
      <c r="P369" s="353" t="s">
        <v>794</v>
      </c>
      <c r="Q369" s="67" t="s">
        <v>757</v>
      </c>
      <c r="R369" s="364"/>
      <c r="S369" s="357"/>
      <c r="T369" s="91">
        <v>42811</v>
      </c>
      <c r="U369" s="358"/>
      <c r="V369" s="353"/>
      <c r="W369" s="356"/>
      <c r="X369" s="457"/>
      <c r="Y369" s="457"/>
      <c r="Z369" s="457"/>
    </row>
    <row r="370" spans="1:26" s="67" customFormat="1" ht="14.25" customHeight="1">
      <c r="A370" s="357" t="s">
        <v>2627</v>
      </c>
      <c r="B370" s="360" t="s">
        <v>294</v>
      </c>
      <c r="C370" s="361" t="s">
        <v>420</v>
      </c>
      <c r="D370" s="355" t="s">
        <v>1635</v>
      </c>
      <c r="E370" s="67">
        <v>196211</v>
      </c>
      <c r="J370" s="353" t="s">
        <v>793</v>
      </c>
      <c r="K370" s="353" t="s">
        <v>793</v>
      </c>
      <c r="L370" s="67" t="s">
        <v>793</v>
      </c>
      <c r="M370" s="67" t="s">
        <v>790</v>
      </c>
      <c r="N370" s="67">
        <v>20.15736008</v>
      </c>
      <c r="O370" s="67">
        <v>92.838653559999997</v>
      </c>
      <c r="P370" s="67" t="s">
        <v>794</v>
      </c>
      <c r="Q370" s="67" t="s">
        <v>775</v>
      </c>
      <c r="R370" s="364"/>
      <c r="S370" s="357"/>
      <c r="T370" s="91"/>
      <c r="U370" s="87"/>
      <c r="V370" s="67" t="s">
        <v>849</v>
      </c>
      <c r="W370" s="356"/>
      <c r="X370" s="457"/>
      <c r="Y370" s="457"/>
      <c r="Z370" s="457"/>
    </row>
    <row r="371" spans="1:26" s="67" customFormat="1" ht="14.25" customHeight="1">
      <c r="A371" s="357" t="s">
        <v>2627</v>
      </c>
      <c r="B371" s="360" t="s">
        <v>294</v>
      </c>
      <c r="C371" s="361" t="s">
        <v>416</v>
      </c>
      <c r="D371" s="355" t="s">
        <v>1635</v>
      </c>
      <c r="E371" s="353">
        <v>196209</v>
      </c>
      <c r="F371" s="354" t="s">
        <v>414</v>
      </c>
      <c r="G371" s="353"/>
      <c r="H371" s="353"/>
      <c r="J371" s="67" t="s">
        <v>793</v>
      </c>
      <c r="K371" s="67" t="s">
        <v>793</v>
      </c>
      <c r="L371" s="353" t="s">
        <v>793</v>
      </c>
      <c r="M371" s="67" t="s">
        <v>790</v>
      </c>
      <c r="N371" s="353">
        <v>20.147863431600001</v>
      </c>
      <c r="O371" s="353">
        <v>92.846768572000002</v>
      </c>
      <c r="P371" s="353" t="s">
        <v>794</v>
      </c>
      <c r="Q371" s="67" t="s">
        <v>757</v>
      </c>
      <c r="R371" s="364"/>
      <c r="S371" s="357"/>
      <c r="T371" s="91"/>
      <c r="U371" s="358"/>
      <c r="V371" s="353" t="s">
        <v>842</v>
      </c>
      <c r="W371" s="356"/>
      <c r="X371" s="457"/>
      <c r="Y371" s="457"/>
      <c r="Z371" s="457"/>
    </row>
    <row r="372" spans="1:26" s="67" customFormat="1" ht="14.25" customHeight="1">
      <c r="A372" s="357" t="s">
        <v>2627</v>
      </c>
      <c r="B372" s="360" t="s">
        <v>294</v>
      </c>
      <c r="C372" s="361" t="s">
        <v>850</v>
      </c>
      <c r="D372" s="355" t="s">
        <v>1635</v>
      </c>
      <c r="E372" s="353">
        <v>196211</v>
      </c>
      <c r="F372" s="353"/>
      <c r="G372" s="353"/>
      <c r="H372" s="353"/>
      <c r="I372" s="353"/>
      <c r="J372" s="353" t="s">
        <v>793</v>
      </c>
      <c r="K372" s="353" t="s">
        <v>793</v>
      </c>
      <c r="L372" s="353" t="s">
        <v>793</v>
      </c>
      <c r="M372" s="353" t="s">
        <v>790</v>
      </c>
      <c r="N372" s="353">
        <v>20.15736008</v>
      </c>
      <c r="O372" s="353">
        <v>92.838653559999997</v>
      </c>
      <c r="P372" s="353" t="s">
        <v>794</v>
      </c>
      <c r="Q372" s="353"/>
      <c r="R372" s="364"/>
      <c r="S372" s="357"/>
      <c r="T372" s="376"/>
      <c r="U372" s="358"/>
      <c r="V372" s="353" t="s">
        <v>850</v>
      </c>
      <c r="W372" s="356"/>
      <c r="X372" s="457"/>
      <c r="Y372" s="457"/>
      <c r="Z372" s="457"/>
    </row>
    <row r="373" spans="1:26" s="67" customFormat="1" ht="14.25" customHeight="1">
      <c r="A373" s="357" t="s">
        <v>2627</v>
      </c>
      <c r="B373" s="360" t="s">
        <v>294</v>
      </c>
      <c r="C373" s="361" t="s">
        <v>445</v>
      </c>
      <c r="D373" s="355" t="s">
        <v>1635</v>
      </c>
      <c r="E373" s="353">
        <v>196167</v>
      </c>
      <c r="F373" s="353" t="s">
        <v>445</v>
      </c>
      <c r="G373" s="353"/>
      <c r="H373" s="353"/>
      <c r="I373" s="353"/>
      <c r="J373" s="353" t="s">
        <v>793</v>
      </c>
      <c r="K373" s="353" t="s">
        <v>793</v>
      </c>
      <c r="L373" s="353" t="s">
        <v>793</v>
      </c>
      <c r="M373" s="353" t="s">
        <v>293</v>
      </c>
      <c r="N373" s="353">
        <v>20.22929001</v>
      </c>
      <c r="O373" s="353">
        <v>92.864669800000001</v>
      </c>
      <c r="P373" s="353" t="s">
        <v>794</v>
      </c>
      <c r="Q373" s="353" t="s">
        <v>757</v>
      </c>
      <c r="R373" s="364"/>
      <c r="S373" s="357"/>
      <c r="T373" s="376">
        <v>42811</v>
      </c>
      <c r="U373" s="358"/>
      <c r="V373" s="353"/>
      <c r="W373" s="356"/>
      <c r="X373" s="457"/>
      <c r="Y373" s="457"/>
      <c r="Z373" s="457"/>
    </row>
    <row r="374" spans="1:26" s="67" customFormat="1" ht="14.25" customHeight="1">
      <c r="A374" s="357" t="s">
        <v>2627</v>
      </c>
      <c r="B374" s="360" t="s">
        <v>294</v>
      </c>
      <c r="C374" s="361" t="s">
        <v>425</v>
      </c>
      <c r="D374" s="402" t="s">
        <v>3088</v>
      </c>
      <c r="E374" s="353" t="s">
        <v>1352</v>
      </c>
      <c r="F374" s="353" t="s">
        <v>414</v>
      </c>
      <c r="G374" s="353" t="s">
        <v>1723</v>
      </c>
      <c r="H374" s="353" t="s">
        <v>41</v>
      </c>
      <c r="J374" s="67" t="s">
        <v>43</v>
      </c>
      <c r="K374" s="67" t="s">
        <v>43</v>
      </c>
      <c r="L374" s="353" t="s">
        <v>789</v>
      </c>
      <c r="M374" s="67" t="s">
        <v>790</v>
      </c>
      <c r="N374" s="353">
        <v>20.179939999999998</v>
      </c>
      <c r="O374" s="353">
        <v>92.831879000000001</v>
      </c>
      <c r="P374" s="353" t="s">
        <v>756</v>
      </c>
      <c r="Q374" s="67" t="s">
        <v>775</v>
      </c>
      <c r="R374" s="461">
        <v>1019</v>
      </c>
      <c r="S374" s="461">
        <v>6906</v>
      </c>
      <c r="T374" s="91"/>
      <c r="U374" s="358"/>
      <c r="V374" s="353" t="s">
        <v>858</v>
      </c>
      <c r="W374" s="356"/>
      <c r="X374" s="457">
        <v>250</v>
      </c>
      <c r="Y374" s="457">
        <v>699</v>
      </c>
      <c r="Z374" s="457">
        <v>949</v>
      </c>
    </row>
    <row r="375" spans="1:26" s="67" customFormat="1" ht="14.25" customHeight="1">
      <c r="A375" s="357" t="s">
        <v>2627</v>
      </c>
      <c r="B375" s="360" t="s">
        <v>294</v>
      </c>
      <c r="C375" s="361" t="s">
        <v>427</v>
      </c>
      <c r="D375" s="402" t="s">
        <v>3088</v>
      </c>
      <c r="E375" s="353" t="s">
        <v>1355</v>
      </c>
      <c r="F375" s="353"/>
      <c r="G375" s="353"/>
      <c r="H375" s="353" t="s">
        <v>41</v>
      </c>
      <c r="J375" s="67" t="s">
        <v>43</v>
      </c>
      <c r="K375" s="67" t="s">
        <v>43</v>
      </c>
      <c r="L375" s="353" t="s">
        <v>767</v>
      </c>
      <c r="M375" s="67" t="s">
        <v>790</v>
      </c>
      <c r="N375" s="353">
        <v>20.181742</v>
      </c>
      <c r="O375" s="353">
        <v>92.842230000000001</v>
      </c>
      <c r="P375" s="353" t="s">
        <v>768</v>
      </c>
      <c r="R375" s="461">
        <v>496</v>
      </c>
      <c r="S375" s="461">
        <v>2942</v>
      </c>
      <c r="T375" s="91">
        <v>42745</v>
      </c>
      <c r="U375" s="358" t="s">
        <v>852</v>
      </c>
      <c r="V375" s="353"/>
      <c r="W375" s="356"/>
      <c r="X375" s="457"/>
      <c r="Y375" s="457"/>
      <c r="Z375" s="457"/>
    </row>
    <row r="376" spans="1:26" s="67" customFormat="1" ht="14.25" customHeight="1">
      <c r="A376" s="357" t="s">
        <v>2627</v>
      </c>
      <c r="B376" s="360" t="s">
        <v>294</v>
      </c>
      <c r="C376" s="361" t="s">
        <v>2573</v>
      </c>
      <c r="D376" s="355" t="s">
        <v>1635</v>
      </c>
      <c r="J376" s="457" t="s">
        <v>793</v>
      </c>
      <c r="K376" s="457" t="s">
        <v>793</v>
      </c>
      <c r="L376" s="457" t="s">
        <v>793</v>
      </c>
      <c r="M376" s="67" t="s">
        <v>790</v>
      </c>
      <c r="N376" s="353"/>
      <c r="O376" s="353"/>
      <c r="P376" s="353" t="s">
        <v>918</v>
      </c>
      <c r="Q376" s="67" t="s">
        <v>757</v>
      </c>
      <c r="R376" s="364"/>
      <c r="S376" s="357"/>
      <c r="T376" s="91">
        <v>42811</v>
      </c>
      <c r="U376" s="87"/>
      <c r="W376" s="356"/>
      <c r="X376" s="457"/>
      <c r="Y376" s="457"/>
      <c r="Z376" s="457"/>
    </row>
    <row r="377" spans="1:26" s="67" customFormat="1" ht="14.25" customHeight="1">
      <c r="A377" s="357" t="s">
        <v>2627</v>
      </c>
      <c r="B377" s="360" t="s">
        <v>294</v>
      </c>
      <c r="C377" s="361" t="s">
        <v>433</v>
      </c>
      <c r="D377" s="355" t="s">
        <v>1635</v>
      </c>
      <c r="E377" s="67">
        <v>196147</v>
      </c>
      <c r="J377" s="67" t="s">
        <v>793</v>
      </c>
      <c r="K377" s="67" t="s">
        <v>793</v>
      </c>
      <c r="L377" s="67" t="s">
        <v>793</v>
      </c>
      <c r="M377" s="67" t="s">
        <v>790</v>
      </c>
      <c r="N377" s="67">
        <v>20.193460460000001</v>
      </c>
      <c r="O377" s="67">
        <v>92.867782590000004</v>
      </c>
      <c r="P377" s="353" t="s">
        <v>794</v>
      </c>
      <c r="Q377" s="67" t="s">
        <v>757</v>
      </c>
      <c r="R377" s="364"/>
      <c r="S377" s="357"/>
      <c r="T377" s="91">
        <v>42811</v>
      </c>
      <c r="U377" s="87"/>
      <c r="W377" s="356"/>
      <c r="X377" s="457"/>
      <c r="Y377" s="457"/>
      <c r="Z377" s="457"/>
    </row>
    <row r="378" spans="1:26" s="67" customFormat="1" ht="14.25" customHeight="1">
      <c r="A378" s="357" t="s">
        <v>2627</v>
      </c>
      <c r="B378" s="360" t="s">
        <v>294</v>
      </c>
      <c r="C378" s="361" t="s">
        <v>1141</v>
      </c>
      <c r="D378" s="355" t="s">
        <v>1635</v>
      </c>
      <c r="E378" s="353"/>
      <c r="F378" s="353"/>
      <c r="G378" s="353"/>
      <c r="H378" s="353"/>
      <c r="I378" s="353"/>
      <c r="J378" s="353" t="s">
        <v>793</v>
      </c>
      <c r="K378" s="353" t="s">
        <v>793</v>
      </c>
      <c r="L378" s="353" t="s">
        <v>793</v>
      </c>
      <c r="M378" s="353" t="s">
        <v>790</v>
      </c>
      <c r="N378" s="353"/>
      <c r="O378" s="353"/>
      <c r="P378" s="353" t="s">
        <v>794</v>
      </c>
      <c r="Q378" s="353" t="s">
        <v>775</v>
      </c>
      <c r="R378" s="364"/>
      <c r="S378" s="357"/>
      <c r="T378" s="376"/>
      <c r="U378" s="358"/>
      <c r="V378" s="353" t="s">
        <v>1141</v>
      </c>
      <c r="W378" s="356"/>
      <c r="X378" s="457"/>
      <c r="Y378" s="457"/>
      <c r="Z378" s="457"/>
    </row>
    <row r="379" spans="1:26" s="67" customFormat="1" ht="14.25" customHeight="1">
      <c r="A379" s="357" t="s">
        <v>2627</v>
      </c>
      <c r="B379" s="360" t="s">
        <v>294</v>
      </c>
      <c r="C379" s="361" t="s">
        <v>2213</v>
      </c>
      <c r="D379" s="355"/>
      <c r="E379" s="353">
        <v>196193</v>
      </c>
      <c r="F379" s="353" t="s">
        <v>2213</v>
      </c>
      <c r="G379" s="353"/>
      <c r="H379" s="353"/>
      <c r="I379" s="353"/>
      <c r="J379" s="353" t="s">
        <v>793</v>
      </c>
      <c r="K379" s="353" t="s">
        <v>793</v>
      </c>
      <c r="L379" s="353" t="s">
        <v>793</v>
      </c>
      <c r="M379" s="353"/>
      <c r="N379" s="353">
        <v>20.1663494110107</v>
      </c>
      <c r="O379" s="353">
        <v>92.871902465820298</v>
      </c>
      <c r="P379" s="353"/>
      <c r="Q379" s="353"/>
      <c r="R379" s="364"/>
      <c r="S379" s="357"/>
      <c r="T379" s="376"/>
      <c r="U379" s="358"/>
      <c r="V379" s="353"/>
      <c r="W379" s="356"/>
      <c r="X379" s="457"/>
      <c r="Y379" s="457"/>
      <c r="Z379" s="457"/>
    </row>
    <row r="380" spans="1:26" s="67" customFormat="1" ht="14.25" customHeight="1">
      <c r="A380" s="357" t="s">
        <v>2627</v>
      </c>
      <c r="B380" s="360" t="s">
        <v>294</v>
      </c>
      <c r="C380" s="361" t="s">
        <v>873</v>
      </c>
      <c r="D380" s="355" t="s">
        <v>1635</v>
      </c>
      <c r="E380" s="67">
        <v>196129</v>
      </c>
      <c r="F380" s="67" t="s">
        <v>873</v>
      </c>
      <c r="J380" s="67" t="s">
        <v>874</v>
      </c>
      <c r="K380" s="353" t="s">
        <v>793</v>
      </c>
      <c r="L380" s="353" t="s">
        <v>874</v>
      </c>
      <c r="M380" s="67" t="s">
        <v>293</v>
      </c>
      <c r="N380" s="67">
        <v>20.226730346679702</v>
      </c>
      <c r="O380" s="67">
        <v>92.836929321289105</v>
      </c>
      <c r="P380" s="67" t="s">
        <v>794</v>
      </c>
      <c r="Q380" s="67" t="s">
        <v>797</v>
      </c>
      <c r="R380" s="364"/>
      <c r="S380" s="357"/>
      <c r="T380" s="91">
        <v>42926</v>
      </c>
      <c r="U380" s="87"/>
      <c r="V380" s="67" t="s">
        <v>873</v>
      </c>
      <c r="W380" s="356"/>
      <c r="X380" s="457"/>
      <c r="Y380" s="457"/>
      <c r="Z380" s="457"/>
    </row>
    <row r="381" spans="1:26" s="67" customFormat="1" ht="14.25" customHeight="1">
      <c r="A381" s="357" t="s">
        <v>2627</v>
      </c>
      <c r="B381" s="354" t="s">
        <v>294</v>
      </c>
      <c r="C381" s="354" t="s">
        <v>2558</v>
      </c>
      <c r="D381" s="402"/>
      <c r="E381" s="353">
        <v>196136</v>
      </c>
      <c r="F381" s="353" t="s">
        <v>2676</v>
      </c>
      <c r="G381" s="353"/>
      <c r="H381" s="353"/>
      <c r="I381" s="353"/>
      <c r="J381" s="353" t="s">
        <v>793</v>
      </c>
      <c r="K381" s="353" t="s">
        <v>793</v>
      </c>
      <c r="L381" s="353" t="s">
        <v>793</v>
      </c>
      <c r="M381" s="353"/>
      <c r="N381" s="353">
        <v>20.1899604797363</v>
      </c>
      <c r="O381" s="353">
        <v>92.895767211914105</v>
      </c>
      <c r="P381" s="353"/>
      <c r="Q381" s="353"/>
      <c r="R381" s="356"/>
      <c r="S381" s="357"/>
      <c r="T381" s="376"/>
      <c r="U381" s="358"/>
      <c r="V381" s="353"/>
      <c r="W381" s="356"/>
      <c r="X381" s="457"/>
      <c r="Y381" s="457"/>
      <c r="Z381" s="457"/>
    </row>
    <row r="382" spans="1:26" s="67" customFormat="1" ht="14.25" customHeight="1">
      <c r="A382" s="357" t="s">
        <v>2627</v>
      </c>
      <c r="B382" s="360" t="s">
        <v>294</v>
      </c>
      <c r="C382" s="361" t="s">
        <v>1999</v>
      </c>
      <c r="D382" s="355"/>
      <c r="E382" s="353">
        <v>196181</v>
      </c>
      <c r="F382" s="353" t="s">
        <v>1999</v>
      </c>
      <c r="G382" s="353"/>
      <c r="H382" s="353"/>
      <c r="I382" s="353"/>
      <c r="J382" s="353" t="s">
        <v>793</v>
      </c>
      <c r="K382" s="353" t="s">
        <v>793</v>
      </c>
      <c r="L382" s="353" t="s">
        <v>793</v>
      </c>
      <c r="M382" s="353"/>
      <c r="N382" s="353">
        <v>20.227340699999999</v>
      </c>
      <c r="O382" s="353">
        <v>92.893341059999997</v>
      </c>
      <c r="P382" s="353" t="s">
        <v>794</v>
      </c>
      <c r="Q382" s="353"/>
      <c r="R382" s="364"/>
      <c r="S382" s="357"/>
      <c r="T382" s="376">
        <v>43297</v>
      </c>
      <c r="U382" s="358"/>
      <c r="V382" s="353"/>
      <c r="W382" s="356"/>
      <c r="X382" s="457"/>
      <c r="Y382" s="457"/>
      <c r="Z382" s="457"/>
    </row>
    <row r="383" spans="1:26" s="67" customFormat="1" ht="14.25" customHeight="1">
      <c r="A383" s="357" t="s">
        <v>2627</v>
      </c>
      <c r="B383" s="360" t="s">
        <v>294</v>
      </c>
      <c r="C383" s="361" t="s">
        <v>1994</v>
      </c>
      <c r="D383" s="355"/>
      <c r="E383" s="353">
        <v>196161</v>
      </c>
      <c r="F383" s="353" t="s">
        <v>1995</v>
      </c>
      <c r="G383" s="353"/>
      <c r="H383" s="353"/>
      <c r="I383" s="353"/>
      <c r="J383" s="353" t="s">
        <v>793</v>
      </c>
      <c r="K383" s="353" t="s">
        <v>793</v>
      </c>
      <c r="L383" s="353" t="s">
        <v>793</v>
      </c>
      <c r="M383" s="353" t="s">
        <v>293</v>
      </c>
      <c r="N383" s="353">
        <v>20.257850650000002</v>
      </c>
      <c r="O383" s="353">
        <v>92.811126709999996</v>
      </c>
      <c r="P383" s="353" t="s">
        <v>794</v>
      </c>
      <c r="Q383" s="353"/>
      <c r="R383" s="364"/>
      <c r="S383" s="357"/>
      <c r="T383" s="376">
        <v>43294</v>
      </c>
      <c r="U383" s="358"/>
      <c r="V383" s="353"/>
      <c r="W383" s="356"/>
      <c r="X383" s="457"/>
      <c r="Y383" s="457"/>
      <c r="Z383" s="457"/>
    </row>
    <row r="384" spans="1:26" s="67" customFormat="1" ht="14.25" customHeight="1">
      <c r="A384" s="357" t="s">
        <v>2627</v>
      </c>
      <c r="B384" s="360" t="s">
        <v>294</v>
      </c>
      <c r="C384" s="361" t="s">
        <v>1993</v>
      </c>
      <c r="D384" s="355"/>
      <c r="E384" s="67">
        <v>196168</v>
      </c>
      <c r="F384" s="67" t="s">
        <v>445</v>
      </c>
      <c r="J384" s="67" t="s">
        <v>793</v>
      </c>
      <c r="K384" s="353" t="s">
        <v>793</v>
      </c>
      <c r="L384" s="353" t="s">
        <v>793</v>
      </c>
      <c r="M384" s="67" t="s">
        <v>1885</v>
      </c>
      <c r="N384" s="67">
        <v>20.223510739999998</v>
      </c>
      <c r="O384" s="67">
        <v>92.86984253</v>
      </c>
      <c r="P384" s="67" t="s">
        <v>794</v>
      </c>
      <c r="R384" s="364"/>
      <c r="S384" s="357"/>
      <c r="T384" s="91">
        <v>43294</v>
      </c>
      <c r="U384" s="87"/>
      <c r="W384" s="356"/>
      <c r="X384" s="457"/>
      <c r="Y384" s="457"/>
      <c r="Z384" s="457"/>
    </row>
    <row r="385" spans="1:26" s="67" customFormat="1" ht="14.25" customHeight="1">
      <c r="A385" s="357" t="s">
        <v>2627</v>
      </c>
      <c r="B385" s="354" t="s">
        <v>294</v>
      </c>
      <c r="C385" s="354" t="s">
        <v>668</v>
      </c>
      <c r="D385" s="402"/>
      <c r="E385" s="354">
        <v>196208</v>
      </c>
      <c r="F385" s="354" t="s">
        <v>668</v>
      </c>
      <c r="J385" s="67" t="s">
        <v>793</v>
      </c>
      <c r="K385" s="354" t="s">
        <v>793</v>
      </c>
      <c r="L385" s="354" t="s">
        <v>793</v>
      </c>
      <c r="N385" s="67">
        <v>20.128850936889599</v>
      </c>
      <c r="O385" s="354">
        <v>92.872497558593807</v>
      </c>
      <c r="R385" s="356"/>
      <c r="S385" s="462"/>
      <c r="T385" s="91"/>
      <c r="U385" s="87"/>
      <c r="W385" s="356"/>
      <c r="X385" s="457"/>
      <c r="Y385" s="457"/>
      <c r="Z385" s="457"/>
    </row>
    <row r="386" spans="1:26" s="67" customFormat="1" ht="14.25" customHeight="1">
      <c r="A386" s="357" t="s">
        <v>2627</v>
      </c>
      <c r="B386" s="360" t="s">
        <v>294</v>
      </c>
      <c r="C386" s="361" t="s">
        <v>1857</v>
      </c>
      <c r="D386" s="355" t="s">
        <v>1855</v>
      </c>
      <c r="J386" s="67" t="s">
        <v>793</v>
      </c>
      <c r="K386" s="353" t="s">
        <v>793</v>
      </c>
      <c r="L386" s="353" t="s">
        <v>793</v>
      </c>
      <c r="P386" s="67" t="s">
        <v>794</v>
      </c>
      <c r="R386" s="364"/>
      <c r="S386" s="357"/>
      <c r="T386" s="91"/>
      <c r="U386" s="87"/>
      <c r="W386" s="356"/>
      <c r="X386" s="457"/>
      <c r="Y386" s="457"/>
      <c r="Z386" s="457"/>
    </row>
    <row r="387" spans="1:26" s="67" customFormat="1" ht="14.25" customHeight="1">
      <c r="A387" s="357" t="s">
        <v>2627</v>
      </c>
      <c r="B387" s="360" t="s">
        <v>294</v>
      </c>
      <c r="C387" s="361" t="s">
        <v>437</v>
      </c>
      <c r="D387" s="355" t="s">
        <v>1635</v>
      </c>
      <c r="E387" s="67">
        <v>196159</v>
      </c>
      <c r="J387" s="67" t="s">
        <v>793</v>
      </c>
      <c r="K387" s="353" t="s">
        <v>793</v>
      </c>
      <c r="L387" s="353" t="s">
        <v>793</v>
      </c>
      <c r="M387" s="67" t="s">
        <v>293</v>
      </c>
      <c r="N387" s="67">
        <v>20.2023601531982</v>
      </c>
      <c r="O387" s="67">
        <v>92.812782287597699</v>
      </c>
      <c r="P387" s="67" t="s">
        <v>794</v>
      </c>
      <c r="Q387" s="67" t="s">
        <v>775</v>
      </c>
      <c r="R387" s="364"/>
      <c r="S387" s="357"/>
      <c r="T387" s="91"/>
      <c r="U387" s="87"/>
      <c r="V387" s="67" t="s">
        <v>437</v>
      </c>
      <c r="W387" s="356"/>
      <c r="X387" s="457"/>
      <c r="Y387" s="457"/>
      <c r="Z387" s="457"/>
    </row>
    <row r="388" spans="1:26" s="67" customFormat="1" ht="14.25" customHeight="1">
      <c r="A388" s="353" t="s">
        <v>37</v>
      </c>
      <c r="B388" s="353" t="s">
        <v>184</v>
      </c>
      <c r="C388" s="353" t="s">
        <v>1081</v>
      </c>
      <c r="D388" s="402" t="s">
        <v>1635</v>
      </c>
      <c r="E388" s="353"/>
      <c r="J388" s="67" t="s">
        <v>1443</v>
      </c>
      <c r="K388" s="353" t="s">
        <v>43</v>
      </c>
      <c r="L388" s="353" t="s">
        <v>1082</v>
      </c>
      <c r="M388" s="67" t="s">
        <v>44</v>
      </c>
      <c r="P388" s="67" t="s">
        <v>756</v>
      </c>
      <c r="R388" s="85"/>
      <c r="S388" s="357"/>
      <c r="T388" s="91"/>
      <c r="U388" s="87"/>
      <c r="V388" s="67" t="s">
        <v>1081</v>
      </c>
      <c r="W388" s="353"/>
      <c r="X388" s="457"/>
      <c r="Y388" s="457"/>
      <c r="Z388" s="457"/>
    </row>
    <row r="389" spans="1:26" s="67" customFormat="1" ht="14.25" customHeight="1">
      <c r="A389" s="353" t="s">
        <v>37</v>
      </c>
      <c r="B389" s="353" t="s">
        <v>184</v>
      </c>
      <c r="C389" s="353" t="s">
        <v>266</v>
      </c>
      <c r="D389" s="402" t="s">
        <v>2799</v>
      </c>
      <c r="E389" s="67" t="s">
        <v>1476</v>
      </c>
      <c r="F389" s="67" t="s">
        <v>1765</v>
      </c>
      <c r="G389" s="67" t="s">
        <v>1765</v>
      </c>
      <c r="H389" s="67" t="s">
        <v>41</v>
      </c>
      <c r="I389" s="67" t="s">
        <v>42</v>
      </c>
      <c r="J389" s="67" t="s">
        <v>43</v>
      </c>
      <c r="K389" s="353" t="s">
        <v>43</v>
      </c>
      <c r="L389" s="353" t="s">
        <v>43</v>
      </c>
      <c r="M389" s="67" t="s">
        <v>44</v>
      </c>
      <c r="N389" s="67">
        <v>24.260719999999999</v>
      </c>
      <c r="O389" s="67">
        <v>97.238829999999993</v>
      </c>
      <c r="P389" s="67" t="s">
        <v>756</v>
      </c>
      <c r="Q389" s="67" t="s">
        <v>775</v>
      </c>
      <c r="R389" s="85"/>
      <c r="S389" s="462"/>
      <c r="T389" s="91"/>
      <c r="U389" s="87"/>
      <c r="V389" s="67" t="s">
        <v>266</v>
      </c>
      <c r="X389" s="457"/>
      <c r="Y389" s="457"/>
      <c r="Z389" s="457"/>
    </row>
    <row r="390" spans="1:26" s="67" customFormat="1" ht="14.25" customHeight="1">
      <c r="A390" s="353" t="s">
        <v>37</v>
      </c>
      <c r="B390" s="353" t="s">
        <v>184</v>
      </c>
      <c r="C390" s="353" t="s">
        <v>185</v>
      </c>
      <c r="D390" s="402" t="s">
        <v>2799</v>
      </c>
      <c r="E390" s="67" t="s">
        <v>1475</v>
      </c>
      <c r="F390" s="67" t="s">
        <v>1764</v>
      </c>
      <c r="G390" s="67" t="s">
        <v>1764</v>
      </c>
      <c r="H390" s="67" t="s">
        <v>41</v>
      </c>
      <c r="I390" s="67" t="s">
        <v>130</v>
      </c>
      <c r="J390" s="67" t="s">
        <v>43</v>
      </c>
      <c r="K390" s="353" t="s">
        <v>43</v>
      </c>
      <c r="L390" s="353" t="s">
        <v>43</v>
      </c>
      <c r="M390" s="67" t="s">
        <v>44</v>
      </c>
      <c r="N390" s="67">
        <v>24.260466999999998</v>
      </c>
      <c r="O390" s="67">
        <v>97.252650000000003</v>
      </c>
      <c r="P390" s="67" t="s">
        <v>756</v>
      </c>
      <c r="Q390" s="67" t="s">
        <v>775</v>
      </c>
      <c r="R390" s="356"/>
      <c r="S390" s="462"/>
      <c r="T390" s="91"/>
      <c r="U390" s="87"/>
      <c r="V390" s="67" t="s">
        <v>185</v>
      </c>
      <c r="W390" s="353"/>
      <c r="X390" s="457"/>
      <c r="Y390" s="457"/>
      <c r="Z390" s="457"/>
    </row>
    <row r="391" spans="1:26" s="67" customFormat="1" ht="14.25" customHeight="1">
      <c r="A391" s="353" t="s">
        <v>37</v>
      </c>
      <c r="B391" s="353" t="s">
        <v>184</v>
      </c>
      <c r="C391" s="353" t="s">
        <v>1089</v>
      </c>
      <c r="D391" s="402" t="s">
        <v>1635</v>
      </c>
      <c r="E391" s="353"/>
      <c r="J391" s="67" t="s">
        <v>793</v>
      </c>
      <c r="K391" s="67" t="s">
        <v>793</v>
      </c>
      <c r="L391" s="67" t="s">
        <v>793</v>
      </c>
      <c r="M391" s="67" t="s">
        <v>44</v>
      </c>
      <c r="P391" s="67" t="s">
        <v>794</v>
      </c>
      <c r="R391" s="356"/>
      <c r="S391" s="357"/>
      <c r="T391" s="91"/>
      <c r="U391" s="87"/>
      <c r="W391" s="353"/>
      <c r="X391" s="457"/>
      <c r="Y391" s="457"/>
      <c r="Z391" s="457"/>
    </row>
    <row r="392" spans="1:26" s="67" customFormat="1" ht="14.25" customHeight="1">
      <c r="A392" s="353" t="s">
        <v>37</v>
      </c>
      <c r="B392" s="353" t="s">
        <v>184</v>
      </c>
      <c r="C392" s="353" t="s">
        <v>1004</v>
      </c>
      <c r="D392" s="402" t="s">
        <v>2799</v>
      </c>
      <c r="E392" s="353" t="s">
        <v>1479</v>
      </c>
      <c r="I392" s="67" t="s">
        <v>2104</v>
      </c>
      <c r="J392" s="67" t="s">
        <v>43</v>
      </c>
      <c r="K392" s="67" t="s">
        <v>43</v>
      </c>
      <c r="L392" s="67" t="s">
        <v>767</v>
      </c>
      <c r="M392" s="67" t="s">
        <v>44</v>
      </c>
      <c r="N392" s="353">
        <v>24.263786</v>
      </c>
      <c r="O392" s="353">
        <v>97.228835000000004</v>
      </c>
      <c r="P392" s="67" t="s">
        <v>768</v>
      </c>
      <c r="Q392" s="67" t="s">
        <v>757</v>
      </c>
      <c r="R392" s="85"/>
      <c r="S392" s="462"/>
      <c r="T392" s="91"/>
      <c r="U392" s="87" t="s">
        <v>1005</v>
      </c>
      <c r="V392" s="67" t="s">
        <v>767</v>
      </c>
      <c r="W392" s="353"/>
      <c r="X392" s="457"/>
      <c r="Y392" s="457"/>
      <c r="Z392" s="457"/>
    </row>
    <row r="393" spans="1:26" s="67" customFormat="1" ht="14.25" customHeight="1">
      <c r="A393" s="353" t="s">
        <v>37</v>
      </c>
      <c r="B393" s="353" t="s">
        <v>184</v>
      </c>
      <c r="C393" s="353" t="s">
        <v>763</v>
      </c>
      <c r="D393" s="402" t="s">
        <v>1636</v>
      </c>
      <c r="E393" s="353" t="s">
        <v>1306</v>
      </c>
      <c r="F393" s="67">
        <v>0</v>
      </c>
      <c r="G393" s="67">
        <v>0</v>
      </c>
      <c r="I393" s="67">
        <v>0</v>
      </c>
      <c r="J393" s="67" t="s">
        <v>43</v>
      </c>
      <c r="K393" s="67" t="s">
        <v>43</v>
      </c>
      <c r="L393" s="67" t="s">
        <v>755</v>
      </c>
      <c r="M393" s="67" t="s">
        <v>44</v>
      </c>
      <c r="N393" s="353"/>
      <c r="O393" s="353"/>
      <c r="P393" s="67" t="s">
        <v>756</v>
      </c>
      <c r="R393" s="85"/>
      <c r="S393" s="357"/>
      <c r="T393" s="91"/>
      <c r="U393" s="87"/>
      <c r="V393" s="67" t="s">
        <v>763</v>
      </c>
      <c r="W393" s="353" t="s">
        <v>2105</v>
      </c>
      <c r="X393" s="457"/>
      <c r="Y393" s="457"/>
      <c r="Z393" s="457"/>
    </row>
    <row r="394" spans="1:26" s="67" customFormat="1" ht="14.25" customHeight="1">
      <c r="A394" s="353" t="s">
        <v>37</v>
      </c>
      <c r="B394" s="353" t="s">
        <v>184</v>
      </c>
      <c r="C394" s="353" t="s">
        <v>187</v>
      </c>
      <c r="D394" s="402" t="s">
        <v>2799</v>
      </c>
      <c r="E394" s="353" t="s">
        <v>1467</v>
      </c>
      <c r="F394" s="353" t="s">
        <v>1762</v>
      </c>
      <c r="G394" s="353" t="s">
        <v>1763</v>
      </c>
      <c r="H394" s="353" t="s">
        <v>41</v>
      </c>
      <c r="I394" s="353" t="s">
        <v>130</v>
      </c>
      <c r="J394" s="353" t="s">
        <v>43</v>
      </c>
      <c r="K394" s="353" t="s">
        <v>43</v>
      </c>
      <c r="L394" s="353" t="s">
        <v>43</v>
      </c>
      <c r="M394" s="353" t="s">
        <v>44</v>
      </c>
      <c r="N394" s="353">
        <v>24.24766</v>
      </c>
      <c r="O394" s="353">
        <v>97.236919999999998</v>
      </c>
      <c r="P394" s="353" t="s">
        <v>756</v>
      </c>
      <c r="Q394" s="353" t="s">
        <v>775</v>
      </c>
      <c r="R394" s="356"/>
      <c r="S394" s="462"/>
      <c r="T394" s="376"/>
      <c r="U394" s="358"/>
      <c r="V394" s="353" t="s">
        <v>187</v>
      </c>
      <c r="W394" s="353"/>
      <c r="X394" s="457"/>
      <c r="Y394" s="457"/>
      <c r="Z394" s="457"/>
    </row>
    <row r="395" spans="1:26" s="67" customFormat="1" ht="14.25" customHeight="1">
      <c r="A395" s="353" t="s">
        <v>37</v>
      </c>
      <c r="B395" s="353" t="s">
        <v>184</v>
      </c>
      <c r="C395" s="353" t="s">
        <v>1003</v>
      </c>
      <c r="D395" s="402" t="s">
        <v>1636</v>
      </c>
      <c r="E395" s="353" t="s">
        <v>1477</v>
      </c>
      <c r="F395" s="353">
        <v>0</v>
      </c>
      <c r="G395" s="353">
        <v>0</v>
      </c>
      <c r="H395" s="353"/>
      <c r="I395" s="353">
        <v>0</v>
      </c>
      <c r="J395" s="67" t="s">
        <v>43</v>
      </c>
      <c r="K395" s="353" t="s">
        <v>43</v>
      </c>
      <c r="L395" s="353" t="s">
        <v>755</v>
      </c>
      <c r="M395" s="67" t="s">
        <v>44</v>
      </c>
      <c r="N395" s="67">
        <v>24.262418019999998</v>
      </c>
      <c r="O395" s="67">
        <v>97.221556500000005</v>
      </c>
      <c r="P395" s="67" t="s">
        <v>756</v>
      </c>
      <c r="R395" s="356"/>
      <c r="S395" s="357"/>
      <c r="T395" s="91"/>
      <c r="U395" s="87"/>
      <c r="V395" s="67" t="s">
        <v>1003</v>
      </c>
      <c r="W395" s="67" t="s">
        <v>2106</v>
      </c>
      <c r="X395" s="457"/>
      <c r="Y395" s="457"/>
      <c r="Z395" s="457"/>
    </row>
    <row r="396" spans="1:26" s="67" customFormat="1" ht="14.25" customHeight="1">
      <c r="A396" s="353" t="s">
        <v>37</v>
      </c>
      <c r="B396" s="353" t="s">
        <v>184</v>
      </c>
      <c r="C396" s="353" t="s">
        <v>189</v>
      </c>
      <c r="D396" s="402" t="s">
        <v>2799</v>
      </c>
      <c r="E396" s="353" t="s">
        <v>1478</v>
      </c>
      <c r="F396" s="353" t="s">
        <v>1765</v>
      </c>
      <c r="G396" s="353" t="s">
        <v>1765</v>
      </c>
      <c r="H396" s="353" t="s">
        <v>41</v>
      </c>
      <c r="I396" s="353" t="s">
        <v>231</v>
      </c>
      <c r="J396" s="67" t="s">
        <v>43</v>
      </c>
      <c r="K396" s="353" t="s">
        <v>43</v>
      </c>
      <c r="L396" s="353" t="s">
        <v>43</v>
      </c>
      <c r="M396" s="353" t="s">
        <v>44</v>
      </c>
      <c r="N396" s="353">
        <v>24.263174360000001</v>
      </c>
      <c r="O396" s="353">
        <v>97.240183459999997</v>
      </c>
      <c r="P396" s="67" t="s">
        <v>756</v>
      </c>
      <c r="Q396" s="353" t="s">
        <v>775</v>
      </c>
      <c r="R396" s="356"/>
      <c r="S396" s="462"/>
      <c r="T396" s="376"/>
      <c r="U396" s="358"/>
      <c r="V396" s="353" t="s">
        <v>189</v>
      </c>
      <c r="W396" s="353"/>
      <c r="X396" s="457"/>
      <c r="Y396" s="457"/>
      <c r="Z396" s="457"/>
    </row>
    <row r="397" spans="1:26" s="67" customFormat="1" ht="14.25" customHeight="1">
      <c r="A397" s="357" t="s">
        <v>37</v>
      </c>
      <c r="B397" s="353" t="s">
        <v>184</v>
      </c>
      <c r="C397" s="347" t="s">
        <v>2002</v>
      </c>
      <c r="D397" s="355"/>
      <c r="E397" s="353"/>
      <c r="J397" s="67" t="s">
        <v>1443</v>
      </c>
      <c r="K397" s="67" t="s">
        <v>43</v>
      </c>
      <c r="L397" s="67" t="s">
        <v>1082</v>
      </c>
      <c r="M397" s="67" t="s">
        <v>44</v>
      </c>
      <c r="N397" s="353"/>
      <c r="O397" s="353"/>
      <c r="P397" s="67" t="s">
        <v>1962</v>
      </c>
      <c r="R397" s="364"/>
      <c r="S397" s="357"/>
      <c r="T397" s="91">
        <v>43298</v>
      </c>
      <c r="U397" s="87"/>
      <c r="W397" s="353"/>
      <c r="X397" s="457"/>
      <c r="Y397" s="457"/>
      <c r="Z397" s="457"/>
    </row>
    <row r="398" spans="1:26" s="67" customFormat="1" ht="14.25" customHeight="1">
      <c r="A398" s="353" t="s">
        <v>37</v>
      </c>
      <c r="B398" s="353" t="s">
        <v>184</v>
      </c>
      <c r="C398" s="353" t="s">
        <v>190</v>
      </c>
      <c r="D398" s="402" t="s">
        <v>2799</v>
      </c>
      <c r="E398" s="353" t="s">
        <v>1473</v>
      </c>
      <c r="F398" s="353" t="s">
        <v>1762</v>
      </c>
      <c r="G398" s="353" t="s">
        <v>1763</v>
      </c>
      <c r="H398" s="353" t="s">
        <v>41</v>
      </c>
      <c r="I398" s="353" t="s">
        <v>231</v>
      </c>
      <c r="J398" s="353" t="s">
        <v>43</v>
      </c>
      <c r="K398" s="353" t="s">
        <v>43</v>
      </c>
      <c r="L398" s="353" t="s">
        <v>43</v>
      </c>
      <c r="M398" s="353" t="s">
        <v>44</v>
      </c>
      <c r="N398" s="353">
        <v>24.253067000000001</v>
      </c>
      <c r="O398" s="353">
        <v>97.234200000000001</v>
      </c>
      <c r="P398" s="353" t="s">
        <v>756</v>
      </c>
      <c r="Q398" s="353" t="s">
        <v>775</v>
      </c>
      <c r="R398" s="356"/>
      <c r="S398" s="462"/>
      <c r="T398" s="376"/>
      <c r="U398" s="358"/>
      <c r="V398" s="353" t="s">
        <v>190</v>
      </c>
      <c r="W398" s="353"/>
      <c r="X398" s="457"/>
      <c r="Y398" s="457"/>
      <c r="Z398" s="457"/>
    </row>
    <row r="399" spans="1:26" s="67" customFormat="1" ht="14.25" customHeight="1">
      <c r="A399" s="353" t="s">
        <v>37</v>
      </c>
      <c r="B399" s="353" t="s">
        <v>184</v>
      </c>
      <c r="C399" s="353" t="s">
        <v>192</v>
      </c>
      <c r="D399" s="402" t="s">
        <v>2799</v>
      </c>
      <c r="E399" s="353" t="s">
        <v>1483</v>
      </c>
      <c r="F399" s="353" t="s">
        <v>1769</v>
      </c>
      <c r="G399" s="353" t="s">
        <v>1769</v>
      </c>
      <c r="H399" s="353" t="s">
        <v>41</v>
      </c>
      <c r="I399" s="353" t="s">
        <v>42</v>
      </c>
      <c r="J399" s="353" t="s">
        <v>43</v>
      </c>
      <c r="K399" s="353" t="s">
        <v>43</v>
      </c>
      <c r="L399" s="353" t="s">
        <v>755</v>
      </c>
      <c r="M399" s="353" t="s">
        <v>44</v>
      </c>
      <c r="N399" s="353">
        <v>24.32638</v>
      </c>
      <c r="O399" s="353">
        <v>97.315860000000001</v>
      </c>
      <c r="P399" s="353" t="s">
        <v>756</v>
      </c>
      <c r="Q399" s="353" t="s">
        <v>775</v>
      </c>
      <c r="R399" s="356"/>
      <c r="S399" s="462"/>
      <c r="T399" s="376"/>
      <c r="U399" s="358"/>
      <c r="V399" s="353" t="s">
        <v>192</v>
      </c>
      <c r="W399" s="353"/>
      <c r="X399" s="457"/>
      <c r="Y399" s="457"/>
      <c r="Z399" s="457"/>
    </row>
    <row r="400" spans="1:26" s="67" customFormat="1" ht="14.25" customHeight="1">
      <c r="A400" s="353" t="s">
        <v>37</v>
      </c>
      <c r="B400" s="353" t="s">
        <v>184</v>
      </c>
      <c r="C400" s="353" t="s">
        <v>268</v>
      </c>
      <c r="D400" s="402" t="s">
        <v>2799</v>
      </c>
      <c r="E400" s="353" t="s">
        <v>1464</v>
      </c>
      <c r="F400" s="353" t="s">
        <v>1759</v>
      </c>
      <c r="G400" s="353" t="s">
        <v>1760</v>
      </c>
      <c r="H400" s="353" t="s">
        <v>41</v>
      </c>
      <c r="I400" s="353" t="s">
        <v>130</v>
      </c>
      <c r="J400" s="67" t="s">
        <v>43</v>
      </c>
      <c r="K400" s="353" t="s">
        <v>43</v>
      </c>
      <c r="L400" s="353" t="s">
        <v>43</v>
      </c>
      <c r="M400" s="353" t="s">
        <v>44</v>
      </c>
      <c r="N400" s="353">
        <v>24.222349999999999</v>
      </c>
      <c r="O400" s="353">
        <v>97.252650000000003</v>
      </c>
      <c r="P400" s="67" t="s">
        <v>756</v>
      </c>
      <c r="Q400" s="353" t="s">
        <v>775</v>
      </c>
      <c r="R400" s="356"/>
      <c r="S400" s="462"/>
      <c r="T400" s="376"/>
      <c r="U400" s="358"/>
      <c r="V400" s="353" t="s">
        <v>268</v>
      </c>
      <c r="W400" s="353"/>
      <c r="X400" s="457"/>
      <c r="Y400" s="457"/>
      <c r="Z400" s="457"/>
    </row>
    <row r="401" spans="1:26" s="67" customFormat="1" ht="14.25" customHeight="1">
      <c r="A401" s="353" t="s">
        <v>37</v>
      </c>
      <c r="B401" s="354" t="s">
        <v>184</v>
      </c>
      <c r="C401" s="354" t="s">
        <v>269</v>
      </c>
      <c r="D401" s="402" t="s">
        <v>2799</v>
      </c>
      <c r="E401" s="353" t="s">
        <v>1480</v>
      </c>
      <c r="F401" s="354" t="s">
        <v>1762</v>
      </c>
      <c r="G401" s="353" t="s">
        <v>1766</v>
      </c>
      <c r="H401" s="353" t="s">
        <v>41</v>
      </c>
      <c r="I401" s="353" t="s">
        <v>130</v>
      </c>
      <c r="J401" s="353" t="s">
        <v>43</v>
      </c>
      <c r="K401" s="353" t="s">
        <v>43</v>
      </c>
      <c r="L401" s="353" t="s">
        <v>43</v>
      </c>
      <c r="M401" s="353" t="s">
        <v>44</v>
      </c>
      <c r="N401" s="353">
        <v>24.26829283</v>
      </c>
      <c r="O401" s="353">
        <v>97.229116809999994</v>
      </c>
      <c r="P401" s="353" t="s">
        <v>756</v>
      </c>
      <c r="Q401" s="353" t="s">
        <v>775</v>
      </c>
      <c r="R401" s="360"/>
      <c r="S401" s="466"/>
      <c r="T401" s="376"/>
      <c r="U401" s="358"/>
      <c r="V401" s="353" t="s">
        <v>269</v>
      </c>
      <c r="W401" s="348" t="s">
        <v>2233</v>
      </c>
      <c r="X401" s="457"/>
      <c r="Y401" s="457"/>
      <c r="Z401" s="457"/>
    </row>
    <row r="402" spans="1:26" s="67" customFormat="1" ht="14.25" customHeight="1">
      <c r="A402" s="361" t="s">
        <v>37</v>
      </c>
      <c r="B402" s="360" t="s">
        <v>184</v>
      </c>
      <c r="C402" s="366" t="s">
        <v>1628</v>
      </c>
      <c r="D402" s="402" t="s">
        <v>1635</v>
      </c>
      <c r="E402" s="354"/>
      <c r="F402" s="354"/>
      <c r="G402" s="354"/>
      <c r="H402" s="354" t="s">
        <v>125</v>
      </c>
      <c r="I402" s="354"/>
      <c r="J402" s="354" t="s">
        <v>1443</v>
      </c>
      <c r="K402" s="67" t="s">
        <v>43</v>
      </c>
      <c r="L402" s="67" t="s">
        <v>43</v>
      </c>
      <c r="M402" s="67" t="s">
        <v>44</v>
      </c>
      <c r="N402" s="354"/>
      <c r="O402" s="354"/>
      <c r="P402" s="67" t="s">
        <v>756</v>
      </c>
      <c r="Q402" s="354"/>
      <c r="R402" s="365"/>
      <c r="S402" s="361"/>
      <c r="T402" s="377">
        <v>43245</v>
      </c>
      <c r="U402" s="362"/>
      <c r="V402" s="354"/>
      <c r="W402" s="353"/>
      <c r="X402" s="457"/>
      <c r="Y402" s="457"/>
      <c r="Z402" s="457"/>
    </row>
    <row r="403" spans="1:26" s="67" customFormat="1" ht="14.25" customHeight="1">
      <c r="A403" s="353" t="s">
        <v>37</v>
      </c>
      <c r="B403" s="354" t="s">
        <v>184</v>
      </c>
      <c r="C403" s="354" t="s">
        <v>1006</v>
      </c>
      <c r="D403" s="402" t="s">
        <v>1932</v>
      </c>
      <c r="E403" s="354" t="s">
        <v>1482</v>
      </c>
      <c r="F403" s="353" t="s">
        <v>1762</v>
      </c>
      <c r="G403" s="353" t="s">
        <v>1842</v>
      </c>
      <c r="H403" s="353" t="s">
        <v>41</v>
      </c>
      <c r="I403" s="353" t="s">
        <v>231</v>
      </c>
      <c r="J403" s="353" t="s">
        <v>43</v>
      </c>
      <c r="K403" s="353" t="s">
        <v>43</v>
      </c>
      <c r="L403" s="353" t="s">
        <v>755</v>
      </c>
      <c r="M403" s="353" t="s">
        <v>44</v>
      </c>
      <c r="N403" s="353">
        <v>24.29138</v>
      </c>
      <c r="O403" s="353">
        <v>97.227789999999999</v>
      </c>
      <c r="P403" s="353" t="s">
        <v>756</v>
      </c>
      <c r="Q403" s="353" t="s">
        <v>757</v>
      </c>
      <c r="R403" s="356"/>
      <c r="S403" s="357"/>
      <c r="T403" s="376">
        <v>43276</v>
      </c>
      <c r="U403" s="358" t="s">
        <v>1933</v>
      </c>
      <c r="V403" s="353" t="s">
        <v>1006</v>
      </c>
      <c r="W403" s="348" t="s">
        <v>2107</v>
      </c>
      <c r="X403" s="457"/>
      <c r="Y403" s="457"/>
      <c r="Z403" s="457"/>
    </row>
    <row r="404" spans="1:26" s="67" customFormat="1" ht="14.25" customHeight="1">
      <c r="A404" s="353" t="s">
        <v>37</v>
      </c>
      <c r="B404" s="354" t="s">
        <v>184</v>
      </c>
      <c r="C404" s="354" t="s">
        <v>786</v>
      </c>
      <c r="D404" s="402" t="s">
        <v>1636</v>
      </c>
      <c r="E404" s="354" t="s">
        <v>1326</v>
      </c>
      <c r="F404" s="353">
        <v>0</v>
      </c>
      <c r="G404" s="353">
        <v>0</v>
      </c>
      <c r="H404" s="353"/>
      <c r="I404" s="353">
        <v>0</v>
      </c>
      <c r="J404" s="353" t="s">
        <v>43</v>
      </c>
      <c r="K404" s="353" t="s">
        <v>43</v>
      </c>
      <c r="L404" s="353" t="s">
        <v>755</v>
      </c>
      <c r="M404" s="353" t="s">
        <v>44</v>
      </c>
      <c r="N404" s="353"/>
      <c r="O404" s="353"/>
      <c r="P404" s="353" t="s">
        <v>756</v>
      </c>
      <c r="Q404" s="353"/>
      <c r="R404" s="356"/>
      <c r="S404" s="357"/>
      <c r="T404" s="376"/>
      <c r="U404" s="358"/>
      <c r="V404" s="353" t="s">
        <v>786</v>
      </c>
      <c r="W404" s="353" t="s">
        <v>2108</v>
      </c>
      <c r="X404" s="457"/>
      <c r="Y404" s="457"/>
      <c r="Z404" s="457"/>
    </row>
    <row r="405" spans="1:26" s="67" customFormat="1" ht="14.25" customHeight="1">
      <c r="A405" s="353" t="s">
        <v>37</v>
      </c>
      <c r="B405" s="354" t="s">
        <v>184</v>
      </c>
      <c r="C405" s="354" t="s">
        <v>193</v>
      </c>
      <c r="D405" s="402" t="s">
        <v>2637</v>
      </c>
      <c r="E405" s="354" t="s">
        <v>1468</v>
      </c>
      <c r="F405" s="353" t="s">
        <v>1759</v>
      </c>
      <c r="G405" s="353" t="s">
        <v>1759</v>
      </c>
      <c r="H405" s="353" t="s">
        <v>41</v>
      </c>
      <c r="I405" s="353" t="s">
        <v>231</v>
      </c>
      <c r="J405" s="353" t="s">
        <v>43</v>
      </c>
      <c r="K405" s="353" t="s">
        <v>43</v>
      </c>
      <c r="L405" s="353" t="s">
        <v>755</v>
      </c>
      <c r="M405" s="353" t="s">
        <v>44</v>
      </c>
      <c r="N405" s="353">
        <v>24.24953</v>
      </c>
      <c r="O405" s="353">
        <v>97.240639999999999</v>
      </c>
      <c r="P405" s="353" t="s">
        <v>756</v>
      </c>
      <c r="Q405" s="353" t="s">
        <v>775</v>
      </c>
      <c r="R405" s="356"/>
      <c r="S405" s="462"/>
      <c r="T405" s="376"/>
      <c r="U405" s="358"/>
      <c r="V405" s="353" t="s">
        <v>193</v>
      </c>
      <c r="W405" s="353"/>
      <c r="X405" s="457"/>
      <c r="Y405" s="457"/>
      <c r="Z405" s="457"/>
    </row>
    <row r="406" spans="1:26" s="67" customFormat="1" ht="14.25" customHeight="1">
      <c r="A406" s="353" t="s">
        <v>37</v>
      </c>
      <c r="B406" s="353" t="s">
        <v>135</v>
      </c>
      <c r="C406" s="353" t="s">
        <v>1093</v>
      </c>
      <c r="D406" s="402" t="s">
        <v>1635</v>
      </c>
      <c r="E406" s="353"/>
      <c r="F406" s="353"/>
      <c r="G406" s="353"/>
      <c r="H406" s="353"/>
      <c r="I406" s="353"/>
      <c r="J406" s="353" t="s">
        <v>43</v>
      </c>
      <c r="K406" s="353" t="s">
        <v>43</v>
      </c>
      <c r="L406" s="353" t="s">
        <v>1094</v>
      </c>
      <c r="M406" s="353" t="s">
        <v>44</v>
      </c>
      <c r="N406" s="353"/>
      <c r="O406" s="353"/>
      <c r="P406" s="353" t="s">
        <v>756</v>
      </c>
      <c r="Q406" s="353"/>
      <c r="R406" s="356"/>
      <c r="S406" s="357"/>
      <c r="T406" s="376"/>
      <c r="U406" s="358"/>
      <c r="V406" s="353" t="s">
        <v>1093</v>
      </c>
      <c r="W406" s="353"/>
      <c r="X406" s="457"/>
      <c r="Y406" s="457"/>
      <c r="Z406" s="457"/>
    </row>
    <row r="407" spans="1:26" s="67" customFormat="1" ht="14.25" customHeight="1">
      <c r="A407" s="353" t="s">
        <v>37</v>
      </c>
      <c r="B407" s="353" t="s">
        <v>135</v>
      </c>
      <c r="C407" s="67" t="s">
        <v>234</v>
      </c>
      <c r="D407" s="402" t="s">
        <v>2799</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6"/>
      <c r="S407" s="462"/>
      <c r="T407" s="91"/>
      <c r="U407" s="87"/>
      <c r="V407" s="67" t="s">
        <v>234</v>
      </c>
      <c r="X407" s="457"/>
      <c r="Y407" s="457"/>
      <c r="Z407" s="457"/>
    </row>
    <row r="408" spans="1:26" s="67" customFormat="1" ht="14.25" customHeight="1">
      <c r="A408" s="353" t="s">
        <v>37</v>
      </c>
      <c r="B408" s="353" t="s">
        <v>135</v>
      </c>
      <c r="C408" s="67" t="s">
        <v>764</v>
      </c>
      <c r="D408" s="402" t="s">
        <v>1636</v>
      </c>
      <c r="E408" s="67" t="s">
        <v>1307</v>
      </c>
      <c r="F408" s="67">
        <v>0</v>
      </c>
      <c r="G408" s="67">
        <v>0</v>
      </c>
      <c r="H408" s="67" t="s">
        <v>41</v>
      </c>
      <c r="I408" s="67" t="s">
        <v>1308</v>
      </c>
      <c r="J408" s="67" t="s">
        <v>43</v>
      </c>
      <c r="K408" s="67" t="s">
        <v>43</v>
      </c>
      <c r="L408" s="67" t="s">
        <v>755</v>
      </c>
      <c r="M408" s="67" t="s">
        <v>44</v>
      </c>
      <c r="P408" s="67" t="s">
        <v>756</v>
      </c>
      <c r="R408" s="85"/>
      <c r="S408" s="357"/>
      <c r="T408" s="91"/>
      <c r="U408" s="87"/>
      <c r="V408" s="67" t="s">
        <v>764</v>
      </c>
      <c r="W408" s="348" t="s">
        <v>2109</v>
      </c>
      <c r="X408" s="457"/>
      <c r="Y408" s="457"/>
      <c r="Z408" s="457"/>
    </row>
    <row r="409" spans="1:26" s="67" customFormat="1" ht="14.25" customHeight="1">
      <c r="A409" s="353" t="s">
        <v>37</v>
      </c>
      <c r="B409" s="353" t="s">
        <v>135</v>
      </c>
      <c r="C409" s="353" t="s">
        <v>136</v>
      </c>
      <c r="D409" s="402" t="s">
        <v>2799</v>
      </c>
      <c r="E409" s="353" t="s">
        <v>1584</v>
      </c>
      <c r="F409" s="353" t="s">
        <v>1820</v>
      </c>
      <c r="G409" s="353" t="s">
        <v>1821</v>
      </c>
      <c r="H409" s="353" t="s">
        <v>41</v>
      </c>
      <c r="I409" s="353" t="s">
        <v>130</v>
      </c>
      <c r="J409" s="353" t="s">
        <v>43</v>
      </c>
      <c r="K409" s="353" t="s">
        <v>43</v>
      </c>
      <c r="L409" s="353" t="s">
        <v>43</v>
      </c>
      <c r="M409" s="353" t="s">
        <v>773</v>
      </c>
      <c r="N409" s="353">
        <v>25.754110000000001</v>
      </c>
      <c r="O409" s="353">
        <v>98.475719999999995</v>
      </c>
      <c r="P409" s="353" t="s">
        <v>756</v>
      </c>
      <c r="Q409" s="353" t="s">
        <v>775</v>
      </c>
      <c r="R409" s="356"/>
      <c r="S409" s="462"/>
      <c r="T409" s="376"/>
      <c r="U409" s="358"/>
      <c r="V409" s="353" t="s">
        <v>136</v>
      </c>
      <c r="W409" s="348" t="s">
        <v>2234</v>
      </c>
      <c r="X409" s="457"/>
      <c r="Y409" s="457"/>
      <c r="Z409" s="457"/>
    </row>
    <row r="410" spans="1:26" s="67" customFormat="1" ht="14.25" customHeight="1">
      <c r="A410" s="353" t="s">
        <v>37</v>
      </c>
      <c r="B410" s="353" t="s">
        <v>135</v>
      </c>
      <c r="C410" s="353" t="s">
        <v>1057</v>
      </c>
      <c r="D410" s="402" t="s">
        <v>1636</v>
      </c>
      <c r="E410" s="353" t="s">
        <v>1582</v>
      </c>
      <c r="F410" s="353" t="s">
        <v>1701</v>
      </c>
      <c r="G410" s="353" t="s">
        <v>1702</v>
      </c>
      <c r="H410" s="353"/>
      <c r="I410" s="353">
        <v>0</v>
      </c>
      <c r="J410" s="353" t="s">
        <v>43</v>
      </c>
      <c r="K410" s="353" t="s">
        <v>43</v>
      </c>
      <c r="L410" s="353" t="s">
        <v>755</v>
      </c>
      <c r="M410" s="353" t="s">
        <v>44</v>
      </c>
      <c r="N410" s="353">
        <v>25.708763000000001</v>
      </c>
      <c r="O410" s="353">
        <v>98.354146999999998</v>
      </c>
      <c r="P410" s="353" t="s">
        <v>768</v>
      </c>
      <c r="Q410" s="353" t="s">
        <v>757</v>
      </c>
      <c r="R410" s="356"/>
      <c r="S410" s="357"/>
      <c r="T410" s="376">
        <v>42983</v>
      </c>
      <c r="U410" s="358" t="s">
        <v>1058</v>
      </c>
      <c r="V410" s="353" t="s">
        <v>1057</v>
      </c>
      <c r="W410" s="353" t="s">
        <v>2110</v>
      </c>
      <c r="X410" s="457"/>
      <c r="Y410" s="457"/>
      <c r="Z410" s="457"/>
    </row>
    <row r="411" spans="1:26" s="67" customFormat="1" ht="14.25" customHeight="1">
      <c r="A411" s="353" t="s">
        <v>37</v>
      </c>
      <c r="B411" s="353" t="s">
        <v>135</v>
      </c>
      <c r="C411" s="353" t="s">
        <v>236</v>
      </c>
      <c r="D411" s="402" t="s">
        <v>2799</v>
      </c>
      <c r="E411" s="353" t="s">
        <v>1587</v>
      </c>
      <c r="F411" s="353" t="s">
        <v>1665</v>
      </c>
      <c r="G411" s="353" t="s">
        <v>1822</v>
      </c>
      <c r="H411" s="353" t="s">
        <v>41</v>
      </c>
      <c r="I411" s="353" t="s">
        <v>231</v>
      </c>
      <c r="J411" s="353" t="s">
        <v>43</v>
      </c>
      <c r="K411" s="353" t="s">
        <v>43</v>
      </c>
      <c r="L411" s="353" t="s">
        <v>43</v>
      </c>
      <c r="M411" s="353" t="s">
        <v>44</v>
      </c>
      <c r="N411" s="353">
        <v>25.887339999999998</v>
      </c>
      <c r="O411" s="353">
        <v>98.129990000000006</v>
      </c>
      <c r="P411" s="353" t="s">
        <v>756</v>
      </c>
      <c r="Q411" s="353" t="s">
        <v>775</v>
      </c>
      <c r="R411" s="356"/>
      <c r="S411" s="462"/>
      <c r="T411" s="376"/>
      <c r="U411" s="358"/>
      <c r="V411" s="353" t="s">
        <v>236</v>
      </c>
      <c r="W411" s="353"/>
      <c r="X411" s="457"/>
      <c r="Y411" s="457"/>
      <c r="Z411" s="457"/>
    </row>
    <row r="412" spans="1:26" s="67" customFormat="1" ht="14.25" customHeight="1">
      <c r="A412" s="353" t="s">
        <v>37</v>
      </c>
      <c r="B412" s="353" t="s">
        <v>135</v>
      </c>
      <c r="C412" s="67" t="s">
        <v>214</v>
      </c>
      <c r="D412" s="402" t="s">
        <v>2799</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62"/>
      <c r="T412" s="91"/>
      <c r="U412" s="87"/>
      <c r="V412" s="67" t="s">
        <v>214</v>
      </c>
      <c r="X412" s="457"/>
      <c r="Y412" s="457"/>
      <c r="Z412" s="457"/>
    </row>
    <row r="413" spans="1:26" s="67" customFormat="1" ht="14.25" customHeight="1">
      <c r="A413" s="353" t="s">
        <v>37</v>
      </c>
      <c r="B413" s="354" t="s">
        <v>135</v>
      </c>
      <c r="C413" s="354" t="s">
        <v>216</v>
      </c>
      <c r="D413" s="402" t="s">
        <v>2799</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3" t="s">
        <v>756</v>
      </c>
      <c r="Q413" s="67" t="s">
        <v>775</v>
      </c>
      <c r="R413" s="356"/>
      <c r="S413" s="462"/>
      <c r="T413" s="91"/>
      <c r="U413" s="87"/>
      <c r="V413" s="67" t="s">
        <v>1052</v>
      </c>
      <c r="X413" s="457"/>
      <c r="Y413" s="457"/>
      <c r="Z413" s="457"/>
    </row>
    <row r="414" spans="1:26" s="67" customFormat="1" ht="14.25" customHeight="1">
      <c r="A414" s="353" t="s">
        <v>37</v>
      </c>
      <c r="B414" s="353" t="s">
        <v>137</v>
      </c>
      <c r="C414" s="67" t="s">
        <v>1053</v>
      </c>
      <c r="D414" s="402"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6"/>
      <c r="S414" s="357"/>
      <c r="T414" s="91">
        <v>42983</v>
      </c>
      <c r="U414" s="87" t="s">
        <v>1054</v>
      </c>
      <c r="V414" s="67" t="s">
        <v>1053</v>
      </c>
      <c r="W414" s="348" t="s">
        <v>2111</v>
      </c>
      <c r="X414" s="457"/>
      <c r="Y414" s="457"/>
      <c r="Z414" s="457"/>
    </row>
    <row r="415" spans="1:26" s="67" customFormat="1" ht="14.25" customHeight="1">
      <c r="A415" s="353" t="s">
        <v>37</v>
      </c>
      <c r="B415" s="353" t="s">
        <v>137</v>
      </c>
      <c r="C415" s="353" t="s">
        <v>219</v>
      </c>
      <c r="D415" s="402" t="s">
        <v>2799</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6"/>
      <c r="S415" s="462"/>
      <c r="T415" s="91"/>
      <c r="U415" s="87"/>
      <c r="V415" s="67" t="s">
        <v>219</v>
      </c>
      <c r="W415" s="353"/>
      <c r="X415" s="457"/>
      <c r="Y415" s="457"/>
      <c r="Z415" s="457"/>
    </row>
    <row r="416" spans="1:26" s="67" customFormat="1" ht="14.25" customHeight="1">
      <c r="A416" s="353" t="s">
        <v>37</v>
      </c>
      <c r="B416" s="353" t="s">
        <v>137</v>
      </c>
      <c r="C416" s="67" t="s">
        <v>1063</v>
      </c>
      <c r="D416" s="402"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7"/>
      <c r="T416" s="91"/>
      <c r="U416" s="87"/>
      <c r="W416" s="348" t="s">
        <v>2112</v>
      </c>
      <c r="X416" s="457"/>
      <c r="Y416" s="457"/>
      <c r="Z416" s="457"/>
    </row>
    <row r="417" spans="1:26" s="67" customFormat="1" ht="14.25" customHeight="1">
      <c r="A417" s="353" t="s">
        <v>37</v>
      </c>
      <c r="B417" s="353" t="s">
        <v>137</v>
      </c>
      <c r="C417" s="67" t="s">
        <v>237</v>
      </c>
      <c r="D417" s="402" t="s">
        <v>2799</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6"/>
      <c r="S417" s="462"/>
      <c r="T417" s="91"/>
      <c r="U417" s="87"/>
      <c r="V417" s="67" t="s">
        <v>237</v>
      </c>
      <c r="X417" s="457"/>
      <c r="Y417" s="457"/>
      <c r="Z417" s="457"/>
    </row>
    <row r="418" spans="1:26" s="67" customFormat="1" ht="14.25" customHeight="1">
      <c r="A418" s="353" t="s">
        <v>37</v>
      </c>
      <c r="B418" s="353" t="s">
        <v>137</v>
      </c>
      <c r="C418" s="67" t="s">
        <v>238</v>
      </c>
      <c r="D418" s="402" t="s">
        <v>2799</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6"/>
      <c r="S418" s="462"/>
      <c r="T418" s="91"/>
      <c r="U418" s="87"/>
      <c r="V418" s="67" t="s">
        <v>238</v>
      </c>
      <c r="W418" s="353"/>
      <c r="X418" s="457"/>
      <c r="Y418" s="457"/>
      <c r="Z418" s="457"/>
    </row>
    <row r="419" spans="1:26" s="67" customFormat="1" ht="14.25" customHeight="1">
      <c r="A419" s="353" t="s">
        <v>37</v>
      </c>
      <c r="B419" s="353" t="s">
        <v>137</v>
      </c>
      <c r="C419" s="353" t="s">
        <v>239</v>
      </c>
      <c r="D419" s="402" t="s">
        <v>2799</v>
      </c>
      <c r="E419" s="353" t="s">
        <v>1576</v>
      </c>
      <c r="F419" s="353" t="s">
        <v>1699</v>
      </c>
      <c r="G419" s="353" t="s">
        <v>1819</v>
      </c>
      <c r="H419" s="353" t="s">
        <v>41</v>
      </c>
      <c r="I419" s="353" t="s">
        <v>130</v>
      </c>
      <c r="J419" s="353" t="s">
        <v>43</v>
      </c>
      <c r="K419" s="353" t="s">
        <v>43</v>
      </c>
      <c r="L419" s="353" t="s">
        <v>43</v>
      </c>
      <c r="M419" s="353" t="s">
        <v>44</v>
      </c>
      <c r="N419" s="353">
        <v>25.647649999999999</v>
      </c>
      <c r="O419" s="353">
        <v>96.346469999999997</v>
      </c>
      <c r="P419" s="353" t="s">
        <v>756</v>
      </c>
      <c r="Q419" s="353" t="s">
        <v>775</v>
      </c>
      <c r="R419" s="356"/>
      <c r="S419" s="462"/>
      <c r="T419" s="376"/>
      <c r="U419" s="358"/>
      <c r="V419" s="353" t="s">
        <v>239</v>
      </c>
      <c r="W419" s="353"/>
      <c r="X419" s="457"/>
      <c r="Y419" s="457"/>
      <c r="Z419" s="457"/>
    </row>
    <row r="420" spans="1:26" s="67" customFormat="1" ht="14.25" customHeight="1">
      <c r="A420" s="353" t="s">
        <v>37</v>
      </c>
      <c r="B420" s="353" t="s">
        <v>137</v>
      </c>
      <c r="C420" s="353" t="s">
        <v>1059</v>
      </c>
      <c r="D420" s="402" t="s">
        <v>1636</v>
      </c>
      <c r="E420" s="353" t="s">
        <v>1583</v>
      </c>
      <c r="F420" s="353" t="s">
        <v>1703</v>
      </c>
      <c r="G420" s="353" t="s">
        <v>1704</v>
      </c>
      <c r="H420" s="353" t="s">
        <v>41</v>
      </c>
      <c r="I420" s="353" t="s">
        <v>231</v>
      </c>
      <c r="J420" s="353" t="s">
        <v>43</v>
      </c>
      <c r="K420" s="353" t="s">
        <v>43</v>
      </c>
      <c r="L420" s="353" t="s">
        <v>755</v>
      </c>
      <c r="M420" s="353" t="s">
        <v>44</v>
      </c>
      <c r="N420" s="353">
        <v>25.728653000000001</v>
      </c>
      <c r="O420" s="353">
        <v>96.673805000000002</v>
      </c>
      <c r="P420" s="353" t="s">
        <v>756</v>
      </c>
      <c r="Q420" s="353"/>
      <c r="R420" s="356"/>
      <c r="S420" s="357"/>
      <c r="T420" s="376"/>
      <c r="U420" s="358"/>
      <c r="V420" s="353" t="s">
        <v>1059</v>
      </c>
      <c r="W420" s="348" t="s">
        <v>2113</v>
      </c>
      <c r="X420" s="457"/>
      <c r="Y420" s="457"/>
      <c r="Z420" s="457"/>
    </row>
    <row r="421" spans="1:26" s="67" customFormat="1" ht="14.25" customHeight="1">
      <c r="A421" s="353" t="s">
        <v>37</v>
      </c>
      <c r="B421" s="353" t="s">
        <v>137</v>
      </c>
      <c r="C421" s="67" t="s">
        <v>1056</v>
      </c>
      <c r="D421" s="402"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7"/>
      <c r="T421" s="91"/>
      <c r="U421" s="87"/>
      <c r="V421" s="67" t="s">
        <v>1056</v>
      </c>
      <c r="W421" s="67" t="s">
        <v>2114</v>
      </c>
      <c r="X421" s="457"/>
      <c r="Y421" s="457"/>
      <c r="Z421" s="457"/>
    </row>
    <row r="422" spans="1:26" s="67" customFormat="1" ht="14.25" customHeight="1">
      <c r="A422" s="353" t="s">
        <v>37</v>
      </c>
      <c r="B422" s="353" t="s">
        <v>137</v>
      </c>
      <c r="C422" s="67" t="s">
        <v>240</v>
      </c>
      <c r="D422" s="402" t="s">
        <v>2799</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62"/>
      <c r="T422" s="91"/>
      <c r="U422" s="87"/>
      <c r="V422" s="67" t="s">
        <v>240</v>
      </c>
      <c r="X422" s="457"/>
      <c r="Y422" s="457"/>
      <c r="Z422" s="457"/>
    </row>
    <row r="423" spans="1:26" s="67" customFormat="1" ht="14.25" customHeight="1">
      <c r="A423" s="353" t="s">
        <v>37</v>
      </c>
      <c r="B423" s="353" t="s">
        <v>137</v>
      </c>
      <c r="C423" s="353" t="s">
        <v>241</v>
      </c>
      <c r="D423" s="402" t="s">
        <v>2799</v>
      </c>
      <c r="E423" s="353" t="s">
        <v>1574</v>
      </c>
      <c r="F423" s="353" t="s">
        <v>1699</v>
      </c>
      <c r="G423" s="353" t="s">
        <v>1818</v>
      </c>
      <c r="H423" s="353" t="s">
        <v>41</v>
      </c>
      <c r="I423" s="353" t="s">
        <v>231</v>
      </c>
      <c r="J423" s="67" t="s">
        <v>43</v>
      </c>
      <c r="K423" s="67" t="s">
        <v>43</v>
      </c>
      <c r="L423" s="67" t="s">
        <v>43</v>
      </c>
      <c r="M423" s="353" t="s">
        <v>44</v>
      </c>
      <c r="N423" s="353">
        <v>25.637309999999999</v>
      </c>
      <c r="O423" s="353">
        <v>96.35257</v>
      </c>
      <c r="P423" s="67" t="s">
        <v>756</v>
      </c>
      <c r="Q423" s="353" t="s">
        <v>775</v>
      </c>
      <c r="R423" s="356"/>
      <c r="S423" s="462"/>
      <c r="T423" s="376"/>
      <c r="U423" s="358"/>
      <c r="V423" s="353" t="s">
        <v>241</v>
      </c>
      <c r="X423" s="457"/>
      <c r="Y423" s="457"/>
      <c r="Z423" s="457"/>
    </row>
    <row r="424" spans="1:26" s="67" customFormat="1" ht="14.25" customHeight="1">
      <c r="A424" s="353" t="s">
        <v>37</v>
      </c>
      <c r="B424" s="353" t="s">
        <v>137</v>
      </c>
      <c r="C424" s="353" t="s">
        <v>138</v>
      </c>
      <c r="D424" s="402" t="s">
        <v>2799</v>
      </c>
      <c r="E424" s="353" t="s">
        <v>1558</v>
      </c>
      <c r="F424" s="353" t="s">
        <v>1811</v>
      </c>
      <c r="G424" s="353" t="s">
        <v>1812</v>
      </c>
      <c r="H424" s="353" t="s">
        <v>41</v>
      </c>
      <c r="I424" s="353" t="s">
        <v>130</v>
      </c>
      <c r="J424" s="353" t="s">
        <v>43</v>
      </c>
      <c r="K424" s="353" t="s">
        <v>43</v>
      </c>
      <c r="L424" s="353" t="s">
        <v>43</v>
      </c>
      <c r="M424" s="353" t="s">
        <v>44</v>
      </c>
      <c r="N424" s="353">
        <v>25.51352</v>
      </c>
      <c r="O424" s="353">
        <v>96.705960000000005</v>
      </c>
      <c r="P424" s="353" t="s">
        <v>756</v>
      </c>
      <c r="Q424" s="353" t="s">
        <v>775</v>
      </c>
      <c r="R424" s="356"/>
      <c r="S424" s="462"/>
      <c r="T424" s="376"/>
      <c r="U424" s="358"/>
      <c r="V424" s="353" t="s">
        <v>138</v>
      </c>
      <c r="W424" s="353"/>
      <c r="X424" s="457"/>
      <c r="Y424" s="457"/>
      <c r="Z424" s="457"/>
    </row>
    <row r="425" spans="1:26" s="67" customFormat="1" ht="14.25" customHeight="1">
      <c r="A425" s="353" t="s">
        <v>37</v>
      </c>
      <c r="B425" s="353" t="s">
        <v>137</v>
      </c>
      <c r="C425" s="353" t="s">
        <v>242</v>
      </c>
      <c r="D425" s="402" t="s">
        <v>2799</v>
      </c>
      <c r="E425" s="353" t="s">
        <v>1569</v>
      </c>
      <c r="F425" s="353" t="s">
        <v>1816</v>
      </c>
      <c r="G425" s="353" t="s">
        <v>1817</v>
      </c>
      <c r="H425" s="353" t="s">
        <v>41</v>
      </c>
      <c r="I425" s="353" t="s">
        <v>2104</v>
      </c>
      <c r="J425" s="353" t="s">
        <v>43</v>
      </c>
      <c r="K425" s="353" t="s">
        <v>43</v>
      </c>
      <c r="L425" s="353" t="s">
        <v>771</v>
      </c>
      <c r="M425" s="353" t="s">
        <v>44</v>
      </c>
      <c r="N425" s="353">
        <v>25.615960999999999</v>
      </c>
      <c r="O425" s="353">
        <v>96.316564</v>
      </c>
      <c r="P425" s="353" t="s">
        <v>756</v>
      </c>
      <c r="Q425" s="353" t="s">
        <v>775</v>
      </c>
      <c r="R425" s="356"/>
      <c r="S425" s="462"/>
      <c r="T425" s="376"/>
      <c r="U425" s="358"/>
      <c r="V425" s="353" t="s">
        <v>242</v>
      </c>
      <c r="W425" s="353"/>
      <c r="X425" s="457"/>
      <c r="Y425" s="457"/>
      <c r="Z425" s="457"/>
    </row>
    <row r="426" spans="1:26" s="67" customFormat="1" ht="14.25" customHeight="1">
      <c r="A426" s="353" t="s">
        <v>37</v>
      </c>
      <c r="B426" s="353" t="s">
        <v>137</v>
      </c>
      <c r="C426" s="353" t="s">
        <v>243</v>
      </c>
      <c r="D426" s="402" t="s">
        <v>2799</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62"/>
      <c r="T426" s="91"/>
      <c r="U426" s="87"/>
      <c r="V426" s="67" t="s">
        <v>243</v>
      </c>
      <c r="X426" s="457"/>
      <c r="Y426" s="457"/>
      <c r="Z426" s="457"/>
    </row>
    <row r="427" spans="1:26" s="67" customFormat="1" ht="14.25" customHeight="1">
      <c r="A427" s="361" t="s">
        <v>37</v>
      </c>
      <c r="B427" s="360" t="s">
        <v>137</v>
      </c>
      <c r="C427" s="354" t="s">
        <v>1920</v>
      </c>
      <c r="D427" s="355" t="s">
        <v>1635</v>
      </c>
      <c r="J427" s="67" t="s">
        <v>1443</v>
      </c>
      <c r="K427" s="67" t="s">
        <v>43</v>
      </c>
      <c r="L427" s="67" t="s">
        <v>43</v>
      </c>
      <c r="M427" s="67" t="s">
        <v>44</v>
      </c>
      <c r="P427" s="353" t="s">
        <v>756</v>
      </c>
      <c r="Q427" s="67" t="s">
        <v>1921</v>
      </c>
      <c r="R427" s="364"/>
      <c r="S427" s="357"/>
      <c r="T427" s="91">
        <v>43270</v>
      </c>
      <c r="U427" s="87"/>
      <c r="W427" s="353"/>
      <c r="X427" s="457"/>
      <c r="Y427" s="457"/>
      <c r="Z427" s="457"/>
    </row>
    <row r="428" spans="1:26" s="67" customFormat="1" ht="14.25" customHeight="1">
      <c r="A428" s="361" t="s">
        <v>37</v>
      </c>
      <c r="B428" s="360" t="s">
        <v>137</v>
      </c>
      <c r="C428" s="354" t="s">
        <v>1954</v>
      </c>
      <c r="D428" s="402" t="s">
        <v>2799</v>
      </c>
      <c r="E428" s="354" t="s">
        <v>1955</v>
      </c>
      <c r="F428" s="354"/>
      <c r="G428" s="354"/>
      <c r="H428" s="354"/>
      <c r="I428" s="353" t="s">
        <v>1308</v>
      </c>
      <c r="J428" s="67" t="s">
        <v>43</v>
      </c>
      <c r="K428" s="67" t="s">
        <v>43</v>
      </c>
      <c r="L428" s="354" t="s">
        <v>43</v>
      </c>
      <c r="M428" s="353" t="s">
        <v>44</v>
      </c>
      <c r="N428" s="354"/>
      <c r="O428" s="354"/>
      <c r="P428" s="354" t="s">
        <v>756</v>
      </c>
      <c r="Q428" s="353" t="s">
        <v>1921</v>
      </c>
      <c r="R428" s="356"/>
      <c r="S428" s="462"/>
      <c r="T428" s="376">
        <v>43276</v>
      </c>
      <c r="U428" s="362" t="s">
        <v>1969</v>
      </c>
      <c r="V428" s="354"/>
      <c r="W428" s="348" t="s">
        <v>2235</v>
      </c>
      <c r="X428" s="457"/>
      <c r="Y428" s="457"/>
      <c r="Z428" s="457"/>
    </row>
    <row r="429" spans="1:26" s="67" customFormat="1" ht="14.25" customHeight="1">
      <c r="A429" s="353" t="s">
        <v>37</v>
      </c>
      <c r="B429" s="353" t="s">
        <v>137</v>
      </c>
      <c r="C429" s="353" t="s">
        <v>1060</v>
      </c>
      <c r="D429" s="402" t="s">
        <v>1636</v>
      </c>
      <c r="E429" s="67" t="s">
        <v>1585</v>
      </c>
      <c r="F429" s="67" t="s">
        <v>1699</v>
      </c>
      <c r="G429" s="67" t="s">
        <v>1705</v>
      </c>
      <c r="H429" s="67" t="s">
        <v>41</v>
      </c>
      <c r="I429" s="67" t="s">
        <v>130</v>
      </c>
      <c r="J429" s="67" t="s">
        <v>43</v>
      </c>
      <c r="K429" s="353" t="s">
        <v>43</v>
      </c>
      <c r="L429" s="353" t="s">
        <v>755</v>
      </c>
      <c r="M429" s="67" t="s">
        <v>44</v>
      </c>
      <c r="N429" s="67">
        <v>25.806999999999999</v>
      </c>
      <c r="O429" s="67">
        <v>96.637</v>
      </c>
      <c r="P429" s="67" t="s">
        <v>756</v>
      </c>
      <c r="Q429" s="67" t="s">
        <v>775</v>
      </c>
      <c r="R429" s="356"/>
      <c r="S429" s="86"/>
      <c r="T429" s="91">
        <v>42983</v>
      </c>
      <c r="U429" s="87" t="s">
        <v>1054</v>
      </c>
      <c r="V429" s="67" t="s">
        <v>1060</v>
      </c>
      <c r="W429" s="348" t="s">
        <v>2116</v>
      </c>
      <c r="X429" s="457"/>
      <c r="Y429" s="457"/>
      <c r="Z429" s="457"/>
    </row>
    <row r="430" spans="1:26" s="67" customFormat="1" ht="14.25" customHeight="1">
      <c r="A430" s="361" t="s">
        <v>37</v>
      </c>
      <c r="B430" s="360" t="s">
        <v>137</v>
      </c>
      <c r="C430" s="354" t="s">
        <v>1952</v>
      </c>
      <c r="D430" s="402" t="s">
        <v>2799</v>
      </c>
      <c r="E430" s="354" t="s">
        <v>1953</v>
      </c>
      <c r="F430" s="354"/>
      <c r="G430" s="354"/>
      <c r="H430" s="354"/>
      <c r="I430" s="353" t="s">
        <v>1308</v>
      </c>
      <c r="J430" s="353" t="s">
        <v>43</v>
      </c>
      <c r="K430" s="353" t="s">
        <v>43</v>
      </c>
      <c r="L430" s="354" t="s">
        <v>43</v>
      </c>
      <c r="M430" s="353" t="s">
        <v>44</v>
      </c>
      <c r="N430" s="354"/>
      <c r="O430" s="354"/>
      <c r="P430" s="354" t="s">
        <v>756</v>
      </c>
      <c r="Q430" s="353" t="s">
        <v>1921</v>
      </c>
      <c r="R430" s="356"/>
      <c r="S430" s="462"/>
      <c r="T430" s="376">
        <v>43276</v>
      </c>
      <c r="U430" s="362" t="s">
        <v>1969</v>
      </c>
      <c r="V430" s="354"/>
      <c r="W430" s="348" t="s">
        <v>2236</v>
      </c>
      <c r="X430" s="457"/>
      <c r="Y430" s="457"/>
      <c r="Z430" s="457"/>
    </row>
    <row r="431" spans="1:26" s="67" customFormat="1" ht="14.25" customHeight="1">
      <c r="A431" s="361" t="s">
        <v>37</v>
      </c>
      <c r="B431" s="360" t="s">
        <v>137</v>
      </c>
      <c r="C431" s="354" t="s">
        <v>1922</v>
      </c>
      <c r="D431" s="355"/>
      <c r="J431" s="67" t="s">
        <v>1443</v>
      </c>
      <c r="K431" s="67" t="s">
        <v>43</v>
      </c>
      <c r="L431" s="67" t="s">
        <v>43</v>
      </c>
      <c r="M431" s="67" t="s">
        <v>44</v>
      </c>
      <c r="P431" s="353" t="s">
        <v>756</v>
      </c>
      <c r="Q431" s="67" t="s">
        <v>1921</v>
      </c>
      <c r="R431" s="364"/>
      <c r="S431" s="357"/>
      <c r="T431" s="91">
        <v>43270</v>
      </c>
      <c r="U431" s="87"/>
      <c r="W431" s="353"/>
      <c r="X431" s="457"/>
      <c r="Y431" s="457"/>
      <c r="Z431" s="457"/>
    </row>
    <row r="432" spans="1:26" s="67" customFormat="1" ht="14.25" customHeight="1">
      <c r="A432" s="353" t="s">
        <v>37</v>
      </c>
      <c r="B432" s="353" t="s">
        <v>137</v>
      </c>
      <c r="C432" s="353" t="s">
        <v>232</v>
      </c>
      <c r="D432" s="402" t="s">
        <v>2799</v>
      </c>
      <c r="E432" s="67" t="s">
        <v>1604</v>
      </c>
      <c r="F432" s="67" t="s">
        <v>1699</v>
      </c>
      <c r="G432" s="67" t="s">
        <v>1828</v>
      </c>
      <c r="H432" s="67" t="s">
        <v>41</v>
      </c>
      <c r="I432" s="353" t="s">
        <v>130</v>
      </c>
      <c r="J432" s="67" t="s">
        <v>43</v>
      </c>
      <c r="K432" s="353" t="s">
        <v>43</v>
      </c>
      <c r="L432" s="353" t="s">
        <v>1082</v>
      </c>
      <c r="M432" s="67" t="s">
        <v>44</v>
      </c>
      <c r="P432" s="17" t="s">
        <v>1964</v>
      </c>
      <c r="Q432" s="67" t="s">
        <v>921</v>
      </c>
      <c r="R432" s="356"/>
      <c r="S432" s="462"/>
      <c r="T432" s="91">
        <v>42983</v>
      </c>
      <c r="U432" s="87" t="s">
        <v>1100</v>
      </c>
      <c r="W432" s="348" t="s">
        <v>2603</v>
      </c>
      <c r="X432" s="457"/>
      <c r="Y432" s="457"/>
      <c r="Z432" s="457"/>
    </row>
    <row r="433" spans="1:26" s="67" customFormat="1" ht="14.25" customHeight="1">
      <c r="A433" s="353" t="s">
        <v>37</v>
      </c>
      <c r="B433" s="353" t="s">
        <v>137</v>
      </c>
      <c r="C433" s="353" t="s">
        <v>244</v>
      </c>
      <c r="D433" s="402" t="s">
        <v>2799</v>
      </c>
      <c r="E433" s="67" t="s">
        <v>1560</v>
      </c>
      <c r="F433" s="67" t="s">
        <v>1652</v>
      </c>
      <c r="G433" s="67" t="s">
        <v>1653</v>
      </c>
      <c r="H433" s="67" t="s">
        <v>41</v>
      </c>
      <c r="I433" s="67" t="s">
        <v>231</v>
      </c>
      <c r="J433" s="67" t="s">
        <v>43</v>
      </c>
      <c r="K433" s="353" t="s">
        <v>43</v>
      </c>
      <c r="L433" s="353" t="s">
        <v>43</v>
      </c>
      <c r="M433" s="67" t="s">
        <v>44</v>
      </c>
      <c r="N433" s="353">
        <v>25.566510000000001</v>
      </c>
      <c r="O433" s="353">
        <v>96.269199999999998</v>
      </c>
      <c r="P433" s="353" t="s">
        <v>756</v>
      </c>
      <c r="Q433" s="67" t="s">
        <v>775</v>
      </c>
      <c r="R433" s="356"/>
      <c r="S433" s="462"/>
      <c r="T433" s="91"/>
      <c r="U433" s="87"/>
      <c r="V433" s="67" t="s">
        <v>244</v>
      </c>
      <c r="W433" s="353"/>
      <c r="X433" s="457"/>
      <c r="Y433" s="457"/>
      <c r="Z433" s="457"/>
    </row>
    <row r="434" spans="1:26" s="67" customFormat="1" ht="14.25" customHeight="1">
      <c r="A434" s="353" t="s">
        <v>37</v>
      </c>
      <c r="B434" s="353" t="s">
        <v>137</v>
      </c>
      <c r="C434" s="353" t="s">
        <v>245</v>
      </c>
      <c r="D434" s="402" t="s">
        <v>2799</v>
      </c>
      <c r="E434" s="67" t="s">
        <v>1572</v>
      </c>
      <c r="F434" s="67" t="s">
        <v>1816</v>
      </c>
      <c r="G434" s="67" t="s">
        <v>1817</v>
      </c>
      <c r="H434" s="67" t="s">
        <v>41</v>
      </c>
      <c r="I434" s="67" t="s">
        <v>231</v>
      </c>
      <c r="J434" s="67" t="s">
        <v>43</v>
      </c>
      <c r="K434" s="67" t="s">
        <v>43</v>
      </c>
      <c r="L434" s="353" t="s">
        <v>43</v>
      </c>
      <c r="M434" s="67" t="s">
        <v>44</v>
      </c>
      <c r="N434" s="67">
        <v>25.61842</v>
      </c>
      <c r="O434" s="67">
        <v>96.316400000000002</v>
      </c>
      <c r="P434" s="353" t="s">
        <v>756</v>
      </c>
      <c r="Q434" s="67" t="s">
        <v>775</v>
      </c>
      <c r="R434" s="356"/>
      <c r="S434" s="462"/>
      <c r="T434" s="91"/>
      <c r="U434" s="87"/>
      <c r="V434" s="67" t="s">
        <v>245</v>
      </c>
      <c r="W434" s="353"/>
      <c r="X434" s="457"/>
      <c r="Y434" s="457"/>
      <c r="Z434" s="457"/>
    </row>
    <row r="435" spans="1:26" s="67" customFormat="1" ht="14.25" customHeight="1">
      <c r="A435" s="357" t="s">
        <v>37</v>
      </c>
      <c r="B435" s="360" t="s">
        <v>137</v>
      </c>
      <c r="C435" s="361" t="s">
        <v>2001</v>
      </c>
      <c r="D435" s="355"/>
      <c r="J435" s="67" t="s">
        <v>1443</v>
      </c>
      <c r="K435" s="354" t="s">
        <v>43</v>
      </c>
      <c r="L435" s="354" t="s">
        <v>771</v>
      </c>
      <c r="M435" s="67" t="s">
        <v>44</v>
      </c>
      <c r="P435" s="353" t="s">
        <v>756</v>
      </c>
      <c r="R435" s="364"/>
      <c r="S435" s="357"/>
      <c r="T435" s="91">
        <v>43297</v>
      </c>
      <c r="U435" s="358"/>
      <c r="W435" s="353"/>
      <c r="X435" s="457"/>
      <c r="Y435" s="457"/>
      <c r="Z435" s="457"/>
    </row>
    <row r="436" spans="1:26" s="67" customFormat="1" ht="14.25" customHeight="1">
      <c r="A436" s="353" t="s">
        <v>37</v>
      </c>
      <c r="B436" s="353" t="s">
        <v>137</v>
      </c>
      <c r="C436" s="353" t="s">
        <v>246</v>
      </c>
      <c r="D436" s="402" t="s">
        <v>2799</v>
      </c>
      <c r="E436" s="67" t="s">
        <v>1568</v>
      </c>
      <c r="F436" s="67" t="s">
        <v>1816</v>
      </c>
      <c r="G436" s="67" t="s">
        <v>1817</v>
      </c>
      <c r="H436" s="67" t="s">
        <v>41</v>
      </c>
      <c r="I436" s="67" t="s">
        <v>2104</v>
      </c>
      <c r="J436" s="67" t="s">
        <v>43</v>
      </c>
      <c r="K436" s="67" t="s">
        <v>43</v>
      </c>
      <c r="L436" s="67" t="s">
        <v>771</v>
      </c>
      <c r="M436" s="67" t="s">
        <v>44</v>
      </c>
      <c r="N436" s="67">
        <v>25.6145</v>
      </c>
      <c r="O436" s="67">
        <v>96.319829999999996</v>
      </c>
      <c r="P436" s="353" t="s">
        <v>756</v>
      </c>
      <c r="Q436" s="67" t="s">
        <v>775</v>
      </c>
      <c r="R436" s="356"/>
      <c r="S436" s="462"/>
      <c r="T436" s="91"/>
      <c r="U436" s="87"/>
      <c r="V436" s="67" t="s">
        <v>246</v>
      </c>
      <c r="X436" s="457"/>
      <c r="Y436" s="457"/>
      <c r="Z436" s="457"/>
    </row>
    <row r="437" spans="1:26" s="67" customFormat="1" ht="14.25" customHeight="1">
      <c r="A437" s="353" t="s">
        <v>37</v>
      </c>
      <c r="B437" s="353" t="s">
        <v>137</v>
      </c>
      <c r="C437" s="67" t="s">
        <v>1055</v>
      </c>
      <c r="D437" s="402"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7"/>
      <c r="T437" s="91"/>
      <c r="U437" s="87"/>
      <c r="V437" s="67" t="s">
        <v>1055</v>
      </c>
      <c r="W437" s="353" t="s">
        <v>2117</v>
      </c>
      <c r="X437" s="457"/>
      <c r="Y437" s="457"/>
      <c r="Z437" s="457"/>
    </row>
    <row r="438" spans="1:26" s="67" customFormat="1" ht="14.25" customHeight="1">
      <c r="A438" s="353" t="s">
        <v>37</v>
      </c>
      <c r="B438" s="353" t="s">
        <v>137</v>
      </c>
      <c r="C438" s="353" t="s">
        <v>179</v>
      </c>
      <c r="D438" s="402" t="s">
        <v>2799</v>
      </c>
      <c r="E438" s="67" t="s">
        <v>1590</v>
      </c>
      <c r="F438" s="67" t="s">
        <v>1706</v>
      </c>
      <c r="G438" s="67" t="s">
        <v>1707</v>
      </c>
      <c r="H438" s="67" t="s">
        <v>41</v>
      </c>
      <c r="I438" s="67" t="s">
        <v>1308</v>
      </c>
      <c r="J438" s="67" t="s">
        <v>43</v>
      </c>
      <c r="K438" s="67" t="s">
        <v>43</v>
      </c>
      <c r="L438" s="353" t="s">
        <v>43</v>
      </c>
      <c r="M438" s="67" t="s">
        <v>44</v>
      </c>
      <c r="N438" s="353">
        <v>25.920006000000001</v>
      </c>
      <c r="O438" s="353">
        <v>96.662092000000001</v>
      </c>
      <c r="P438" s="353" t="s">
        <v>756</v>
      </c>
      <c r="Q438" s="67" t="s">
        <v>757</v>
      </c>
      <c r="R438" s="356"/>
      <c r="S438" s="462"/>
      <c r="T438" s="91"/>
      <c r="U438" s="358"/>
      <c r="W438" s="353"/>
      <c r="X438" s="457"/>
      <c r="Y438" s="457"/>
      <c r="Z438" s="457"/>
    </row>
    <row r="439" spans="1:26" s="67" customFormat="1" ht="14.25" customHeight="1">
      <c r="A439" s="353" t="s">
        <v>37</v>
      </c>
      <c r="B439" s="353" t="s">
        <v>137</v>
      </c>
      <c r="C439" s="353" t="s">
        <v>247</v>
      </c>
      <c r="D439" s="402" t="s">
        <v>2799</v>
      </c>
      <c r="E439" s="67" t="s">
        <v>1571</v>
      </c>
      <c r="F439" s="67" t="s">
        <v>1814</v>
      </c>
      <c r="G439" s="67" t="s">
        <v>1814</v>
      </c>
      <c r="H439" s="67" t="s">
        <v>41</v>
      </c>
      <c r="I439" s="67" t="s">
        <v>2104</v>
      </c>
      <c r="J439" s="67" t="s">
        <v>43</v>
      </c>
      <c r="K439" s="67" t="s">
        <v>43</v>
      </c>
      <c r="L439" s="353" t="s">
        <v>771</v>
      </c>
      <c r="M439" s="67" t="s">
        <v>44</v>
      </c>
      <c r="N439" s="67">
        <v>25.617998</v>
      </c>
      <c r="O439" s="67">
        <v>96.339590000000001</v>
      </c>
      <c r="P439" s="353" t="s">
        <v>756</v>
      </c>
      <c r="Q439" s="67" t="s">
        <v>775</v>
      </c>
      <c r="R439" s="356"/>
      <c r="S439" s="462"/>
      <c r="T439" s="91"/>
      <c r="U439" s="358"/>
      <c r="V439" s="67" t="s">
        <v>247</v>
      </c>
      <c r="W439" s="353"/>
      <c r="X439" s="457"/>
      <c r="Y439" s="457"/>
      <c r="Z439" s="457"/>
    </row>
    <row r="440" spans="1:26" s="67" customFormat="1" ht="14.25" customHeight="1">
      <c r="A440" s="353" t="s">
        <v>37</v>
      </c>
      <c r="B440" s="353" t="s">
        <v>137</v>
      </c>
      <c r="C440" s="353" t="s">
        <v>220</v>
      </c>
      <c r="D440" s="402" t="s">
        <v>2799</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3" t="s">
        <v>756</v>
      </c>
      <c r="Q440" s="67" t="s">
        <v>775</v>
      </c>
      <c r="R440" s="356"/>
      <c r="S440" s="462"/>
      <c r="T440" s="91"/>
      <c r="U440" s="87"/>
      <c r="V440" s="67" t="s">
        <v>220</v>
      </c>
      <c r="W440" s="353"/>
      <c r="X440" s="457"/>
      <c r="Y440" s="457"/>
      <c r="Z440" s="457"/>
    </row>
    <row r="441" spans="1:26" s="67" customFormat="1" ht="14.25" customHeight="1">
      <c r="A441" s="353" t="s">
        <v>37</v>
      </c>
      <c r="B441" s="353" t="s">
        <v>137</v>
      </c>
      <c r="C441" s="353" t="s">
        <v>248</v>
      </c>
      <c r="D441" s="402" t="s">
        <v>2799</v>
      </c>
      <c r="E441" s="67" t="s">
        <v>1559</v>
      </c>
      <c r="F441" s="67" t="s">
        <v>1652</v>
      </c>
      <c r="G441" s="67" t="s">
        <v>1653</v>
      </c>
      <c r="H441" s="67" t="s">
        <v>41</v>
      </c>
      <c r="I441" s="67" t="s">
        <v>2104</v>
      </c>
      <c r="J441" s="67" t="s">
        <v>43</v>
      </c>
      <c r="K441" s="67" t="s">
        <v>43</v>
      </c>
      <c r="L441" s="67" t="s">
        <v>771</v>
      </c>
      <c r="M441" s="67" t="s">
        <v>44</v>
      </c>
      <c r="N441" s="353">
        <v>25.56551</v>
      </c>
      <c r="O441" s="353">
        <v>96.279200000000003</v>
      </c>
      <c r="P441" s="353" t="s">
        <v>756</v>
      </c>
      <c r="Q441" s="67" t="s">
        <v>775</v>
      </c>
      <c r="R441" s="356"/>
      <c r="S441" s="462"/>
      <c r="T441" s="91"/>
      <c r="U441" s="358"/>
      <c r="V441" s="67" t="s">
        <v>248</v>
      </c>
      <c r="W441" s="353"/>
      <c r="X441" s="457"/>
      <c r="Y441" s="457"/>
      <c r="Z441" s="457"/>
    </row>
    <row r="442" spans="1:26" s="67" customFormat="1" ht="14.25" customHeight="1">
      <c r="A442" s="353" t="s">
        <v>37</v>
      </c>
      <c r="B442" s="354" t="s">
        <v>137</v>
      </c>
      <c r="C442" s="354" t="s">
        <v>249</v>
      </c>
      <c r="D442" s="402"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3" t="s">
        <v>756</v>
      </c>
      <c r="Q442" s="67" t="s">
        <v>775</v>
      </c>
      <c r="R442" s="356"/>
      <c r="S442" s="357"/>
      <c r="T442" s="91"/>
      <c r="U442" s="358"/>
      <c r="V442" s="67" t="s">
        <v>249</v>
      </c>
      <c r="W442" s="348" t="s">
        <v>2604</v>
      </c>
      <c r="X442" s="457"/>
      <c r="Y442" s="457"/>
      <c r="Z442" s="457"/>
    </row>
    <row r="443" spans="1:26" s="67" customFormat="1" ht="14.25" customHeight="1">
      <c r="A443" s="353" t="s">
        <v>37</v>
      </c>
      <c r="B443" s="354" t="s">
        <v>137</v>
      </c>
      <c r="C443" s="354" t="s">
        <v>177</v>
      </c>
      <c r="D443" s="402" t="s">
        <v>2799</v>
      </c>
      <c r="E443" s="67" t="s">
        <v>1591</v>
      </c>
      <c r="F443" s="67" t="s">
        <v>1706</v>
      </c>
      <c r="G443" s="67" t="s">
        <v>1707</v>
      </c>
      <c r="H443" s="67" t="s">
        <v>41</v>
      </c>
      <c r="I443" s="67" t="s">
        <v>130</v>
      </c>
      <c r="J443" s="67" t="s">
        <v>43</v>
      </c>
      <c r="K443" s="354" t="s">
        <v>43</v>
      </c>
      <c r="L443" s="354" t="s">
        <v>43</v>
      </c>
      <c r="M443" s="67" t="s">
        <v>44</v>
      </c>
      <c r="N443" s="67">
        <v>25.920006000000001</v>
      </c>
      <c r="O443" s="67">
        <v>96.662092000000001</v>
      </c>
      <c r="P443" s="67" t="s">
        <v>756</v>
      </c>
      <c r="Q443" s="67" t="s">
        <v>757</v>
      </c>
      <c r="R443" s="356"/>
      <c r="S443" s="462"/>
      <c r="T443" s="91"/>
      <c r="U443" s="87"/>
      <c r="W443" s="353"/>
      <c r="X443" s="457"/>
      <c r="Y443" s="457"/>
      <c r="Z443" s="457"/>
    </row>
    <row r="444" spans="1:26" s="67" customFormat="1" ht="14.25" customHeight="1">
      <c r="A444" s="353" t="s">
        <v>37</v>
      </c>
      <c r="B444" s="353" t="s">
        <v>137</v>
      </c>
      <c r="C444" s="354" t="s">
        <v>178</v>
      </c>
      <c r="D444" s="402" t="s">
        <v>2799</v>
      </c>
      <c r="E444" s="67" t="s">
        <v>1592</v>
      </c>
      <c r="F444" s="67" t="s">
        <v>1706</v>
      </c>
      <c r="G444" s="67" t="s">
        <v>1707</v>
      </c>
      <c r="H444" s="67" t="s">
        <v>41</v>
      </c>
      <c r="I444" s="67" t="s">
        <v>2104</v>
      </c>
      <c r="J444" s="67" t="s">
        <v>43</v>
      </c>
      <c r="K444" s="354" t="s">
        <v>43</v>
      </c>
      <c r="L444" s="354" t="s">
        <v>771</v>
      </c>
      <c r="M444" s="67" t="s">
        <v>44</v>
      </c>
      <c r="N444" s="67">
        <v>25.920006000000001</v>
      </c>
      <c r="O444" s="67">
        <v>96.662092000000001</v>
      </c>
      <c r="P444" s="67" t="s">
        <v>756</v>
      </c>
      <c r="Q444" s="67" t="s">
        <v>757</v>
      </c>
      <c r="R444" s="356"/>
      <c r="S444" s="462"/>
      <c r="T444" s="91"/>
      <c r="U444" s="87" t="s">
        <v>2688</v>
      </c>
      <c r="W444" s="353"/>
      <c r="X444" s="457"/>
      <c r="Y444" s="457"/>
      <c r="Z444" s="457"/>
    </row>
    <row r="445" spans="1:26" s="67" customFormat="1" ht="14.25" customHeight="1">
      <c r="A445" s="353" t="s">
        <v>37</v>
      </c>
      <c r="B445" s="353" t="s">
        <v>137</v>
      </c>
      <c r="C445" s="354" t="s">
        <v>180</v>
      </c>
      <c r="D445" s="402" t="s">
        <v>1635</v>
      </c>
      <c r="J445" s="67" t="s">
        <v>1443</v>
      </c>
      <c r="K445" s="354" t="s">
        <v>43</v>
      </c>
      <c r="L445" s="354" t="s">
        <v>43</v>
      </c>
      <c r="M445" s="67" t="s">
        <v>44</v>
      </c>
      <c r="P445" s="67" t="s">
        <v>756</v>
      </c>
      <c r="Q445" s="67" t="s">
        <v>757</v>
      </c>
      <c r="R445" s="356"/>
      <c r="S445" s="357"/>
      <c r="T445" s="91">
        <v>42824</v>
      </c>
      <c r="U445" s="87"/>
      <c r="W445" s="353"/>
      <c r="X445" s="457"/>
      <c r="Y445" s="457"/>
      <c r="Z445" s="457"/>
    </row>
    <row r="446" spans="1:26" s="67" customFormat="1" ht="14.25" customHeight="1">
      <c r="A446" s="353" t="s">
        <v>37</v>
      </c>
      <c r="B446" s="354" t="s">
        <v>137</v>
      </c>
      <c r="C446" s="354" t="s">
        <v>1064</v>
      </c>
      <c r="D446" s="402" t="s">
        <v>1636</v>
      </c>
      <c r="E446" s="67" t="s">
        <v>1593</v>
      </c>
      <c r="F446" s="67" t="s">
        <v>1706</v>
      </c>
      <c r="G446" s="67" t="s">
        <v>1707</v>
      </c>
      <c r="I446" s="67">
        <v>0</v>
      </c>
      <c r="J446" s="67" t="s">
        <v>43</v>
      </c>
      <c r="K446" s="67" t="s">
        <v>43</v>
      </c>
      <c r="L446" s="67" t="s">
        <v>755</v>
      </c>
      <c r="M446" s="67" t="s">
        <v>44</v>
      </c>
      <c r="N446" s="353">
        <v>25.920006000000001</v>
      </c>
      <c r="O446" s="353">
        <v>96.662092000000001</v>
      </c>
      <c r="P446" s="67" t="s">
        <v>756</v>
      </c>
      <c r="Q446" s="67" t="s">
        <v>757</v>
      </c>
      <c r="R446" s="356"/>
      <c r="S446" s="357"/>
      <c r="T446" s="91"/>
      <c r="U446" s="87"/>
      <c r="W446" s="348" t="s">
        <v>2112</v>
      </c>
      <c r="X446" s="457"/>
      <c r="Y446" s="457"/>
      <c r="Z446" s="457"/>
    </row>
    <row r="447" spans="1:26" s="67" customFormat="1" ht="14.25" customHeight="1">
      <c r="A447" s="353" t="s">
        <v>37</v>
      </c>
      <c r="B447" s="354" t="s">
        <v>137</v>
      </c>
      <c r="C447" s="354" t="s">
        <v>1061</v>
      </c>
      <c r="D447" s="402" t="s">
        <v>1636</v>
      </c>
      <c r="E447" s="354" t="s">
        <v>1586</v>
      </c>
      <c r="F447" s="353" t="s">
        <v>1706</v>
      </c>
      <c r="G447" s="353" t="s">
        <v>1706</v>
      </c>
      <c r="H447" s="353"/>
      <c r="I447" s="353">
        <v>0</v>
      </c>
      <c r="J447" s="353" t="s">
        <v>43</v>
      </c>
      <c r="K447" s="353" t="s">
        <v>43</v>
      </c>
      <c r="L447" s="353" t="s">
        <v>755</v>
      </c>
      <c r="M447" s="353" t="s">
        <v>44</v>
      </c>
      <c r="N447" s="353">
        <v>25.806999999999999</v>
      </c>
      <c r="O447" s="353">
        <v>96.637</v>
      </c>
      <c r="P447" s="353" t="s">
        <v>756</v>
      </c>
      <c r="Q447" s="353" t="s">
        <v>757</v>
      </c>
      <c r="R447" s="356"/>
      <c r="S447" s="357"/>
      <c r="T447" s="376">
        <v>42983</v>
      </c>
      <c r="U447" s="358" t="s">
        <v>1062</v>
      </c>
      <c r="V447" s="353"/>
      <c r="W447" s="348" t="s">
        <v>2118</v>
      </c>
      <c r="X447" s="457"/>
      <c r="Y447" s="457"/>
      <c r="Z447" s="457"/>
    </row>
    <row r="448" spans="1:26" s="67" customFormat="1" ht="14.25" customHeight="1">
      <c r="A448" s="353" t="s">
        <v>37</v>
      </c>
      <c r="B448" s="354" t="s">
        <v>137</v>
      </c>
      <c r="C448" s="354" t="s">
        <v>1051</v>
      </c>
      <c r="D448" s="402" t="s">
        <v>1636</v>
      </c>
      <c r="E448" s="67" t="s">
        <v>1562</v>
      </c>
      <c r="F448" s="67" t="s">
        <v>1652</v>
      </c>
      <c r="G448" s="67" t="s">
        <v>1652</v>
      </c>
      <c r="H448" s="67" t="s">
        <v>41</v>
      </c>
      <c r="I448" s="67" t="s">
        <v>1308</v>
      </c>
      <c r="J448" s="67" t="s">
        <v>43</v>
      </c>
      <c r="K448" s="353" t="s">
        <v>43</v>
      </c>
      <c r="L448" s="353" t="s">
        <v>755</v>
      </c>
      <c r="M448" s="67" t="s">
        <v>44</v>
      </c>
      <c r="N448" s="67">
        <v>25.57921</v>
      </c>
      <c r="O448" s="67">
        <v>96.288250000000005</v>
      </c>
      <c r="P448" s="67" t="s">
        <v>756</v>
      </c>
      <c r="R448" s="356"/>
      <c r="S448" s="86"/>
      <c r="T448" s="91"/>
      <c r="U448" s="87"/>
      <c r="V448" s="67" t="s">
        <v>1051</v>
      </c>
      <c r="W448" s="67" t="s">
        <v>2119</v>
      </c>
      <c r="X448" s="457"/>
      <c r="Y448" s="457"/>
      <c r="Z448" s="457"/>
    </row>
    <row r="449" spans="1:26" s="67" customFormat="1" ht="14.25" customHeight="1">
      <c r="A449" s="353" t="s">
        <v>37</v>
      </c>
      <c r="B449" s="354" t="s">
        <v>137</v>
      </c>
      <c r="C449" s="354" t="s">
        <v>250</v>
      </c>
      <c r="D449" s="402" t="s">
        <v>2799</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62"/>
      <c r="T449" s="91"/>
      <c r="U449" s="87"/>
      <c r="V449" s="67" t="s">
        <v>250</v>
      </c>
      <c r="W449" s="353"/>
      <c r="X449" s="457"/>
      <c r="Y449" s="457"/>
      <c r="Z449" s="457"/>
    </row>
    <row r="450" spans="1:26" s="67" customFormat="1" ht="14.25" customHeight="1">
      <c r="A450" s="353" t="s">
        <v>37</v>
      </c>
      <c r="B450" s="354" t="s">
        <v>137</v>
      </c>
      <c r="C450" s="354" t="s">
        <v>251</v>
      </c>
      <c r="D450" s="402" t="s">
        <v>2799</v>
      </c>
      <c r="E450" s="67" t="s">
        <v>1564</v>
      </c>
      <c r="F450" s="353"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6"/>
      <c r="S450" s="462"/>
      <c r="T450" s="91"/>
      <c r="U450" s="87"/>
      <c r="V450" s="67" t="s">
        <v>251</v>
      </c>
      <c r="W450" s="353"/>
      <c r="X450" s="457"/>
      <c r="Y450" s="457"/>
      <c r="Z450" s="457"/>
    </row>
    <row r="451" spans="1:26" s="67" customFormat="1" ht="14.25" customHeight="1">
      <c r="A451" s="353" t="s">
        <v>37</v>
      </c>
      <c r="B451" s="353" t="s">
        <v>770</v>
      </c>
      <c r="C451" s="353" t="s">
        <v>769</v>
      </c>
      <c r="D451" s="402" t="s">
        <v>1636</v>
      </c>
      <c r="E451" s="67" t="s">
        <v>1312</v>
      </c>
      <c r="F451" s="67">
        <v>0</v>
      </c>
      <c r="G451" s="67">
        <v>0</v>
      </c>
      <c r="I451" s="67">
        <v>0</v>
      </c>
      <c r="J451" s="67" t="s">
        <v>43</v>
      </c>
      <c r="K451" s="353" t="s">
        <v>43</v>
      </c>
      <c r="L451" s="353" t="s">
        <v>755</v>
      </c>
      <c r="M451" s="67" t="s">
        <v>44</v>
      </c>
      <c r="P451" s="67" t="s">
        <v>756</v>
      </c>
      <c r="R451" s="356"/>
      <c r="S451" s="357"/>
      <c r="T451" s="91"/>
      <c r="U451" s="87"/>
      <c r="V451" s="67" t="s">
        <v>769</v>
      </c>
      <c r="W451" s="353" t="s">
        <v>2120</v>
      </c>
      <c r="X451" s="457"/>
      <c r="Y451" s="457"/>
      <c r="Z451" s="457"/>
    </row>
    <row r="452" spans="1:26" s="67" customFormat="1" ht="14.25" customHeight="1">
      <c r="A452" s="353" t="s">
        <v>37</v>
      </c>
      <c r="B452" s="353" t="s">
        <v>1068</v>
      </c>
      <c r="C452" s="353" t="s">
        <v>1067</v>
      </c>
      <c r="D452" s="402" t="s">
        <v>1636</v>
      </c>
      <c r="E452" s="354" t="s">
        <v>1597</v>
      </c>
      <c r="F452" s="67" t="s">
        <v>1708</v>
      </c>
      <c r="G452" s="67" t="s">
        <v>1067</v>
      </c>
      <c r="I452" s="67">
        <v>0</v>
      </c>
      <c r="J452" s="67" t="s">
        <v>43</v>
      </c>
      <c r="K452" s="353" t="s">
        <v>43</v>
      </c>
      <c r="L452" s="353" t="s">
        <v>755</v>
      </c>
      <c r="M452" s="67" t="s">
        <v>44</v>
      </c>
      <c r="N452" s="67">
        <v>26.890058</v>
      </c>
      <c r="O452" s="67">
        <v>98.144502500000002</v>
      </c>
      <c r="P452" s="353" t="s">
        <v>756</v>
      </c>
      <c r="R452" s="356"/>
      <c r="S452" s="357"/>
      <c r="T452" s="91"/>
      <c r="U452" s="87"/>
      <c r="V452" s="67" t="s">
        <v>1067</v>
      </c>
      <c r="W452" s="348" t="s">
        <v>2121</v>
      </c>
      <c r="X452" s="457"/>
      <c r="Y452" s="457"/>
      <c r="Z452" s="457"/>
    </row>
    <row r="453" spans="1:26" s="67" customFormat="1" ht="14.25" customHeight="1">
      <c r="A453" s="353" t="s">
        <v>37</v>
      </c>
      <c r="B453" s="353" t="s">
        <v>1073</v>
      </c>
      <c r="C453" s="67" t="s">
        <v>1072</v>
      </c>
      <c r="D453" s="402" t="s">
        <v>1636</v>
      </c>
      <c r="E453" s="67" t="s">
        <v>1600</v>
      </c>
      <c r="F453" s="67">
        <v>0</v>
      </c>
      <c r="G453" s="67">
        <v>0</v>
      </c>
      <c r="I453" s="67">
        <v>0</v>
      </c>
      <c r="J453" s="67" t="s">
        <v>43</v>
      </c>
      <c r="K453" s="67" t="s">
        <v>43</v>
      </c>
      <c r="L453" s="67" t="s">
        <v>755</v>
      </c>
      <c r="M453" s="67" t="s">
        <v>44</v>
      </c>
      <c r="N453" s="67">
        <v>27.274059999999999</v>
      </c>
      <c r="O453" s="67">
        <v>97.586470000000006</v>
      </c>
      <c r="P453" s="353" t="s">
        <v>756</v>
      </c>
      <c r="R453" s="356"/>
      <c r="S453" s="357"/>
      <c r="T453" s="91"/>
      <c r="U453" s="87"/>
      <c r="V453" s="67" t="s">
        <v>1074</v>
      </c>
      <c r="W453" s="348" t="s">
        <v>2122</v>
      </c>
      <c r="X453" s="457"/>
      <c r="Y453" s="457"/>
      <c r="Z453" s="457"/>
    </row>
    <row r="454" spans="1:26" s="67" customFormat="1" ht="14.25" customHeight="1">
      <c r="A454" s="354" t="s">
        <v>37</v>
      </c>
      <c r="B454" s="354" t="s">
        <v>1298</v>
      </c>
      <c r="C454" s="354" t="s">
        <v>1862</v>
      </c>
      <c r="D454" s="355" t="s">
        <v>1855</v>
      </c>
      <c r="E454" s="363"/>
      <c r="F454" s="363"/>
      <c r="G454" s="363"/>
      <c r="H454" s="363"/>
      <c r="I454" s="363"/>
      <c r="J454" s="67" t="s">
        <v>1443</v>
      </c>
      <c r="K454" s="363"/>
      <c r="L454" s="363"/>
      <c r="P454" s="67" t="s">
        <v>756</v>
      </c>
      <c r="R454" s="364"/>
      <c r="S454" s="357"/>
      <c r="T454" s="91"/>
      <c r="U454" s="87"/>
      <c r="W454" s="353"/>
      <c r="X454" s="457"/>
      <c r="Y454" s="457"/>
      <c r="Z454" s="457"/>
    </row>
    <row r="455" spans="1:26" s="67" customFormat="1" ht="14.25" customHeight="1">
      <c r="A455" s="354" t="s">
        <v>37</v>
      </c>
      <c r="B455" s="354" t="s">
        <v>1298</v>
      </c>
      <c r="C455" s="354" t="s">
        <v>1299</v>
      </c>
      <c r="D455" s="355" t="s">
        <v>1855</v>
      </c>
      <c r="E455" s="363"/>
      <c r="F455" s="363"/>
      <c r="G455" s="363"/>
      <c r="H455" s="363"/>
      <c r="I455" s="363"/>
      <c r="J455" s="353" t="s">
        <v>1443</v>
      </c>
      <c r="K455" s="363"/>
      <c r="L455" s="363"/>
      <c r="M455" s="354"/>
      <c r="N455" s="354"/>
      <c r="O455" s="354"/>
      <c r="P455" s="353" t="s">
        <v>756</v>
      </c>
      <c r="Q455" s="354"/>
      <c r="R455" s="365"/>
      <c r="S455" s="361"/>
      <c r="T455" s="377"/>
      <c r="U455" s="362"/>
      <c r="V455" s="354"/>
      <c r="W455" s="353"/>
      <c r="X455" s="457"/>
      <c r="Y455" s="457"/>
      <c r="Z455" s="457"/>
    </row>
    <row r="456" spans="1:26" s="67" customFormat="1" ht="14.25" customHeight="1">
      <c r="A456" s="353" t="s">
        <v>37</v>
      </c>
      <c r="B456" s="353" t="s">
        <v>38</v>
      </c>
      <c r="C456" s="353" t="s">
        <v>760</v>
      </c>
      <c r="D456" s="402" t="s">
        <v>1636</v>
      </c>
      <c r="E456" s="353" t="s">
        <v>1303</v>
      </c>
      <c r="F456" s="353">
        <v>0</v>
      </c>
      <c r="G456" s="353">
        <v>0</v>
      </c>
      <c r="H456" s="353"/>
      <c r="I456" s="353">
        <v>0</v>
      </c>
      <c r="J456" s="67" t="s">
        <v>43</v>
      </c>
      <c r="K456" s="67" t="s">
        <v>43</v>
      </c>
      <c r="L456" s="67" t="s">
        <v>755</v>
      </c>
      <c r="M456" s="353" t="s">
        <v>44</v>
      </c>
      <c r="N456" s="353"/>
      <c r="O456" s="353"/>
      <c r="P456" s="353" t="s">
        <v>756</v>
      </c>
      <c r="Q456" s="353"/>
      <c r="R456" s="356"/>
      <c r="S456" s="357"/>
      <c r="T456" s="376"/>
      <c r="U456" s="358"/>
      <c r="V456" s="353" t="s">
        <v>760</v>
      </c>
      <c r="W456" s="67" t="s">
        <v>2123</v>
      </c>
      <c r="X456" s="457"/>
      <c r="Y456" s="457"/>
      <c r="Z456" s="457"/>
    </row>
    <row r="457" spans="1:26" s="67" customFormat="1" ht="14.25" customHeight="1">
      <c r="A457" s="353" t="s">
        <v>37</v>
      </c>
      <c r="B457" s="353" t="s">
        <v>38</v>
      </c>
      <c r="C457" s="353" t="s">
        <v>761</v>
      </c>
      <c r="D457" s="402" t="s">
        <v>1636</v>
      </c>
      <c r="E457" s="67" t="s">
        <v>1304</v>
      </c>
      <c r="F457" s="67">
        <v>0</v>
      </c>
      <c r="G457" s="67">
        <v>0</v>
      </c>
      <c r="I457" s="67">
        <v>0</v>
      </c>
      <c r="J457" s="67" t="s">
        <v>43</v>
      </c>
      <c r="K457" s="67" t="s">
        <v>43</v>
      </c>
      <c r="L457" s="67" t="s">
        <v>755</v>
      </c>
      <c r="M457" s="67" t="s">
        <v>44</v>
      </c>
      <c r="P457" s="353" t="s">
        <v>756</v>
      </c>
      <c r="R457" s="356"/>
      <c r="S457" s="357"/>
      <c r="T457" s="91"/>
      <c r="U457" s="87"/>
      <c r="V457" s="67" t="s">
        <v>761</v>
      </c>
      <c r="W457" s="348" t="s">
        <v>2124</v>
      </c>
      <c r="X457" s="457"/>
      <c r="Y457" s="457"/>
      <c r="Z457" s="457"/>
    </row>
    <row r="458" spans="1:26" s="67" customFormat="1" ht="14.25" customHeight="1">
      <c r="A458" s="353" t="s">
        <v>37</v>
      </c>
      <c r="B458" s="353" t="s">
        <v>38</v>
      </c>
      <c r="C458" s="353" t="s">
        <v>762</v>
      </c>
      <c r="D458" s="402" t="s">
        <v>1636</v>
      </c>
      <c r="E458" s="67" t="s">
        <v>1305</v>
      </c>
      <c r="F458" s="67">
        <v>0</v>
      </c>
      <c r="G458" s="67">
        <v>0</v>
      </c>
      <c r="I458" s="67">
        <v>0</v>
      </c>
      <c r="J458" s="67" t="s">
        <v>43</v>
      </c>
      <c r="K458" s="67" t="s">
        <v>43</v>
      </c>
      <c r="L458" s="67" t="s">
        <v>755</v>
      </c>
      <c r="M458" s="67" t="s">
        <v>44</v>
      </c>
      <c r="P458" s="67" t="s">
        <v>756</v>
      </c>
      <c r="R458" s="356"/>
      <c r="S458" s="357"/>
      <c r="T458" s="91"/>
      <c r="U458" s="87"/>
      <c r="V458" s="67" t="s">
        <v>762</v>
      </c>
      <c r="W458" s="67" t="s">
        <v>2123</v>
      </c>
      <c r="X458" s="457"/>
      <c r="Y458" s="457"/>
      <c r="Z458" s="457"/>
    </row>
    <row r="459" spans="1:26" s="67" customFormat="1" ht="14.25" customHeight="1">
      <c r="A459" s="353" t="s">
        <v>37</v>
      </c>
      <c r="B459" s="353" t="s">
        <v>38</v>
      </c>
      <c r="C459" s="353" t="s">
        <v>1873</v>
      </c>
      <c r="D459" s="402" t="s">
        <v>2799</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6"/>
      <c r="S459" s="462"/>
      <c r="T459" s="91"/>
      <c r="U459" s="87"/>
      <c r="W459" s="353"/>
      <c r="X459" s="457"/>
      <c r="Y459" s="457"/>
      <c r="Z459" s="457"/>
    </row>
    <row r="460" spans="1:26" s="67" customFormat="1" ht="14.25" customHeight="1">
      <c r="A460" s="353" t="s">
        <v>37</v>
      </c>
      <c r="B460" s="353" t="s">
        <v>38</v>
      </c>
      <c r="C460" s="353" t="s">
        <v>1863</v>
      </c>
      <c r="D460" s="402" t="s">
        <v>1635</v>
      </c>
      <c r="J460" s="67" t="s">
        <v>1443</v>
      </c>
      <c r="K460" s="67" t="s">
        <v>43</v>
      </c>
      <c r="L460" s="67" t="s">
        <v>1082</v>
      </c>
      <c r="M460" s="67" t="s">
        <v>773</v>
      </c>
      <c r="P460" s="67" t="s">
        <v>756</v>
      </c>
      <c r="R460" s="356"/>
      <c r="S460" s="357"/>
      <c r="T460" s="91"/>
      <c r="U460" s="87"/>
      <c r="V460" s="67" t="s">
        <v>1091</v>
      </c>
      <c r="W460" s="353"/>
      <c r="X460" s="457"/>
      <c r="Y460" s="457"/>
      <c r="Z460" s="457"/>
    </row>
    <row r="461" spans="1:26" s="67" customFormat="1" ht="14.25" customHeight="1">
      <c r="A461" s="353" t="s">
        <v>37</v>
      </c>
      <c r="B461" s="353" t="s">
        <v>38</v>
      </c>
      <c r="C461" s="353" t="s">
        <v>1874</v>
      </c>
      <c r="D461" s="402"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6"/>
      <c r="S461" s="357"/>
      <c r="T461" s="91"/>
      <c r="U461" s="87"/>
      <c r="V461" s="67" t="s">
        <v>984</v>
      </c>
      <c r="W461" s="348" t="s">
        <v>2125</v>
      </c>
      <c r="X461" s="457"/>
      <c r="Y461" s="457"/>
      <c r="Z461" s="457"/>
    </row>
    <row r="462" spans="1:26" s="67" customFormat="1" ht="14.25" customHeight="1">
      <c r="A462" s="353" t="s">
        <v>37</v>
      </c>
      <c r="B462" s="353" t="s">
        <v>38</v>
      </c>
      <c r="C462" s="353" t="s">
        <v>978</v>
      </c>
      <c r="D462" s="402"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6"/>
      <c r="S462" s="357"/>
      <c r="T462" s="91"/>
      <c r="U462" s="87"/>
      <c r="V462" s="67" t="s">
        <v>978</v>
      </c>
      <c r="W462" s="353" t="s">
        <v>2126</v>
      </c>
      <c r="X462" s="457"/>
      <c r="Y462" s="457"/>
      <c r="Z462" s="457"/>
    </row>
    <row r="463" spans="1:26" s="67" customFormat="1" ht="14.25" customHeight="1">
      <c r="A463" s="353" t="s">
        <v>37</v>
      </c>
      <c r="B463" s="353" t="s">
        <v>38</v>
      </c>
      <c r="C463" s="353" t="s">
        <v>283</v>
      </c>
      <c r="D463" s="402" t="s">
        <v>2799</v>
      </c>
      <c r="E463" s="67" t="s">
        <v>1449</v>
      </c>
      <c r="F463" s="353"/>
      <c r="H463" s="67" t="s">
        <v>41</v>
      </c>
      <c r="I463" s="67" t="s">
        <v>42</v>
      </c>
      <c r="J463" s="67" t="s">
        <v>43</v>
      </c>
      <c r="K463" s="67" t="s">
        <v>43</v>
      </c>
      <c r="L463" s="67" t="s">
        <v>43</v>
      </c>
      <c r="M463" s="67" t="s">
        <v>773</v>
      </c>
      <c r="N463" s="67">
        <v>24.056132999999999</v>
      </c>
      <c r="O463" s="67">
        <v>97.625617000000005</v>
      </c>
      <c r="P463" s="67" t="s">
        <v>756</v>
      </c>
      <c r="Q463" s="67" t="s">
        <v>757</v>
      </c>
      <c r="R463" s="356"/>
      <c r="S463" s="462"/>
      <c r="T463" s="91"/>
      <c r="U463" s="87"/>
      <c r="X463" s="457"/>
      <c r="Y463" s="457"/>
      <c r="Z463" s="457"/>
    </row>
    <row r="464" spans="1:26" s="67" customFormat="1" ht="14.25" customHeight="1">
      <c r="A464" s="353" t="s">
        <v>37</v>
      </c>
      <c r="B464" s="353" t="s">
        <v>38</v>
      </c>
      <c r="C464" s="353" t="s">
        <v>979</v>
      </c>
      <c r="D464" s="402"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8" t="s">
        <v>2127</v>
      </c>
      <c r="X464" s="457"/>
      <c r="Y464" s="457"/>
      <c r="Z464" s="457"/>
    </row>
    <row r="465" spans="1:26" s="67" customFormat="1" ht="14.25" customHeight="1">
      <c r="A465" s="353" t="s">
        <v>37</v>
      </c>
      <c r="B465" s="353" t="s">
        <v>38</v>
      </c>
      <c r="C465" s="353" t="s">
        <v>172</v>
      </c>
      <c r="D465" s="402" t="s">
        <v>2799</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6"/>
      <c r="S465" s="462"/>
      <c r="T465" s="91"/>
      <c r="U465" s="87"/>
      <c r="V465" s="67" t="s">
        <v>172</v>
      </c>
      <c r="W465" s="348" t="s">
        <v>2237</v>
      </c>
      <c r="X465" s="457"/>
      <c r="Y465" s="457"/>
      <c r="Z465" s="457"/>
    </row>
    <row r="466" spans="1:26" s="67" customFormat="1" ht="14.25" customHeight="1">
      <c r="A466" s="353" t="s">
        <v>37</v>
      </c>
      <c r="B466" s="353" t="s">
        <v>38</v>
      </c>
      <c r="C466" s="353" t="s">
        <v>39</v>
      </c>
      <c r="D466" s="402" t="s">
        <v>2799</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6"/>
      <c r="S466" s="462"/>
      <c r="T466" s="91"/>
      <c r="U466" s="87"/>
      <c r="V466" s="67" t="s">
        <v>39</v>
      </c>
      <c r="W466" s="353"/>
      <c r="X466" s="457"/>
      <c r="Y466" s="457"/>
      <c r="Z466" s="457"/>
    </row>
    <row r="467" spans="1:26" s="67" customFormat="1" ht="14.25" customHeight="1">
      <c r="A467" s="353" t="s">
        <v>37</v>
      </c>
      <c r="B467" s="353" t="s">
        <v>38</v>
      </c>
      <c r="C467" s="353" t="s">
        <v>982</v>
      </c>
      <c r="D467" s="402" t="s">
        <v>1635</v>
      </c>
      <c r="J467" s="67" t="s">
        <v>1443</v>
      </c>
      <c r="K467" s="67" t="s">
        <v>43</v>
      </c>
      <c r="L467" s="67" t="s">
        <v>43</v>
      </c>
      <c r="M467" s="67" t="s">
        <v>44</v>
      </c>
      <c r="N467" s="67">
        <v>23.989049999999999</v>
      </c>
      <c r="O467" s="67">
        <v>97.225311000000005</v>
      </c>
      <c r="P467" s="67" t="s">
        <v>756</v>
      </c>
      <c r="Q467" s="67" t="s">
        <v>757</v>
      </c>
      <c r="R467" s="356"/>
      <c r="S467" s="357"/>
      <c r="T467" s="91">
        <v>42849</v>
      </c>
      <c r="U467" s="87" t="s">
        <v>983</v>
      </c>
      <c r="W467" s="353"/>
      <c r="X467" s="457"/>
      <c r="Y467" s="457"/>
      <c r="Z467" s="457"/>
    </row>
    <row r="468" spans="1:26" s="67" customFormat="1" ht="14.25" customHeight="1">
      <c r="A468" s="353" t="s">
        <v>37</v>
      </c>
      <c r="B468" s="353" t="s">
        <v>38</v>
      </c>
      <c r="C468" s="353" t="s">
        <v>993</v>
      </c>
      <c r="D468" s="402" t="s">
        <v>1636</v>
      </c>
      <c r="E468" s="67" t="s">
        <v>1454</v>
      </c>
      <c r="F468" s="353" t="s">
        <v>1677</v>
      </c>
      <c r="G468" s="67" t="s">
        <v>1678</v>
      </c>
      <c r="I468" s="67">
        <v>0</v>
      </c>
      <c r="J468" s="67" t="s">
        <v>43</v>
      </c>
      <c r="K468" s="67" t="s">
        <v>43</v>
      </c>
      <c r="L468" s="67" t="s">
        <v>755</v>
      </c>
      <c r="M468" s="67" t="s">
        <v>44</v>
      </c>
      <c r="N468" s="67">
        <v>24.181640000000002</v>
      </c>
      <c r="O468" s="67">
        <v>97.710989999999995</v>
      </c>
      <c r="P468" s="67" t="s">
        <v>756</v>
      </c>
      <c r="Q468" s="67" t="s">
        <v>775</v>
      </c>
      <c r="R468" s="356"/>
      <c r="S468" s="357"/>
      <c r="T468" s="91"/>
      <c r="U468" s="87" t="s">
        <v>994</v>
      </c>
      <c r="V468" s="67" t="s">
        <v>993</v>
      </c>
      <c r="W468" s="353" t="s">
        <v>2128</v>
      </c>
      <c r="X468" s="457"/>
      <c r="Y468" s="457"/>
      <c r="Z468" s="457"/>
    </row>
    <row r="469" spans="1:26" s="67" customFormat="1" ht="14.25" customHeight="1">
      <c r="A469" s="353" t="s">
        <v>37</v>
      </c>
      <c r="B469" s="353" t="s">
        <v>38</v>
      </c>
      <c r="C469" s="353" t="s">
        <v>995</v>
      </c>
      <c r="D469" s="402"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6"/>
      <c r="S469" s="357"/>
      <c r="T469" s="91"/>
      <c r="U469" s="87"/>
      <c r="V469" s="67" t="s">
        <v>995</v>
      </c>
      <c r="W469" s="353" t="s">
        <v>2128</v>
      </c>
      <c r="X469" s="457"/>
      <c r="Y469" s="457"/>
      <c r="Z469" s="457"/>
    </row>
    <row r="470" spans="1:26" s="67" customFormat="1" ht="14.25" customHeight="1">
      <c r="A470" s="353" t="s">
        <v>37</v>
      </c>
      <c r="B470" s="353" t="s">
        <v>38</v>
      </c>
      <c r="C470" s="353" t="s">
        <v>287</v>
      </c>
      <c r="D470" s="402" t="s">
        <v>2799</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3" t="s">
        <v>775</v>
      </c>
      <c r="R470" s="356"/>
      <c r="S470" s="462"/>
      <c r="T470" s="376"/>
      <c r="U470" s="87"/>
      <c r="V470" s="67" t="s">
        <v>287</v>
      </c>
      <c r="W470" s="353"/>
      <c r="X470" s="457"/>
      <c r="Y470" s="457"/>
      <c r="Z470" s="457"/>
    </row>
    <row r="471" spans="1:26" s="67" customFormat="1" ht="14.25" customHeight="1">
      <c r="A471" s="353" t="s">
        <v>37</v>
      </c>
      <c r="B471" s="353" t="s">
        <v>38</v>
      </c>
      <c r="C471" s="353" t="s">
        <v>1109</v>
      </c>
      <c r="D471" s="402" t="s">
        <v>1635</v>
      </c>
      <c r="J471" s="67" t="s">
        <v>43</v>
      </c>
      <c r="K471" s="67" t="s">
        <v>43</v>
      </c>
      <c r="L471" s="67" t="s">
        <v>755</v>
      </c>
      <c r="M471" s="67" t="s">
        <v>44</v>
      </c>
      <c r="P471" s="67" t="s">
        <v>756</v>
      </c>
      <c r="R471" s="356"/>
      <c r="S471" s="357"/>
      <c r="T471" s="91"/>
      <c r="U471" s="87"/>
      <c r="W471" s="353"/>
      <c r="X471" s="457"/>
      <c r="Y471" s="457"/>
      <c r="Z471" s="457"/>
    </row>
    <row r="472" spans="1:26" s="67" customFormat="1" ht="14.25" customHeight="1">
      <c r="A472" s="353" t="s">
        <v>37</v>
      </c>
      <c r="B472" s="353" t="s">
        <v>38</v>
      </c>
      <c r="C472" s="353" t="s">
        <v>289</v>
      </c>
      <c r="D472" s="402" t="s">
        <v>2799</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3" t="s">
        <v>775</v>
      </c>
      <c r="R472" s="356"/>
      <c r="S472" s="462"/>
      <c r="T472" s="376"/>
      <c r="U472" s="87"/>
      <c r="V472" s="67" t="s">
        <v>973</v>
      </c>
      <c r="X472" s="457"/>
      <c r="Y472" s="457"/>
      <c r="Z472" s="457"/>
    </row>
    <row r="473" spans="1:26" s="67" customFormat="1" ht="14.25" customHeight="1">
      <c r="A473" s="353" t="s">
        <v>37</v>
      </c>
      <c r="B473" s="353" t="s">
        <v>38</v>
      </c>
      <c r="C473" s="353" t="s">
        <v>290</v>
      </c>
      <c r="D473" s="402" t="s">
        <v>2799</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6"/>
      <c r="S473" s="462"/>
      <c r="T473" s="91"/>
      <c r="U473" s="87"/>
      <c r="V473" s="67" t="s">
        <v>290</v>
      </c>
      <c r="W473" s="353"/>
      <c r="X473" s="457"/>
      <c r="Y473" s="457"/>
      <c r="Z473" s="457"/>
    </row>
    <row r="474" spans="1:26" s="67" customFormat="1" ht="14.25" customHeight="1">
      <c r="A474" s="353" t="s">
        <v>37</v>
      </c>
      <c r="B474" s="353" t="s">
        <v>38</v>
      </c>
      <c r="C474" s="353" t="s">
        <v>291</v>
      </c>
      <c r="D474" s="402" t="s">
        <v>2799</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6"/>
      <c r="S474" s="462"/>
      <c r="T474" s="91"/>
      <c r="U474" s="87"/>
      <c r="V474" s="67" t="s">
        <v>974</v>
      </c>
      <c r="W474" s="353"/>
      <c r="X474" s="457"/>
      <c r="Y474" s="457"/>
      <c r="Z474" s="457"/>
    </row>
    <row r="475" spans="1:26" s="67" customFormat="1" ht="14.25" customHeight="1">
      <c r="A475" s="353" t="s">
        <v>37</v>
      </c>
      <c r="B475" s="353" t="s">
        <v>38</v>
      </c>
      <c r="C475" s="353" t="s">
        <v>1110</v>
      </c>
      <c r="D475" s="402" t="s">
        <v>1635</v>
      </c>
      <c r="J475" s="67" t="s">
        <v>1443</v>
      </c>
      <c r="K475" s="67" t="s">
        <v>43</v>
      </c>
      <c r="L475" s="67" t="s">
        <v>1094</v>
      </c>
      <c r="M475" s="67" t="s">
        <v>44</v>
      </c>
      <c r="P475" s="67" t="s">
        <v>756</v>
      </c>
      <c r="Q475" s="67" t="s">
        <v>775</v>
      </c>
      <c r="R475" s="356"/>
      <c r="S475" s="357"/>
      <c r="T475" s="91"/>
      <c r="U475" s="87" t="s">
        <v>1090</v>
      </c>
      <c r="V475" s="67" t="s">
        <v>1110</v>
      </c>
      <c r="W475" s="353"/>
      <c r="X475" s="457"/>
      <c r="Y475" s="457"/>
      <c r="Z475" s="457"/>
    </row>
    <row r="476" spans="1:26" s="67" customFormat="1" ht="14.25" customHeight="1">
      <c r="A476" s="353" t="s">
        <v>37</v>
      </c>
      <c r="B476" s="353" t="s">
        <v>38</v>
      </c>
      <c r="C476" s="353" t="s">
        <v>972</v>
      </c>
      <c r="D476" s="402" t="s">
        <v>2799</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6"/>
      <c r="S476" s="462"/>
      <c r="T476" s="91"/>
      <c r="U476" s="87"/>
      <c r="V476" s="67" t="s">
        <v>972</v>
      </c>
      <c r="W476" s="353"/>
      <c r="X476" s="457"/>
      <c r="Y476" s="457"/>
      <c r="Z476" s="457"/>
    </row>
    <row r="477" spans="1:26" s="67" customFormat="1" ht="14.25" customHeight="1">
      <c r="A477" s="353" t="s">
        <v>37</v>
      </c>
      <c r="B477" s="353" t="s">
        <v>38</v>
      </c>
      <c r="C477" s="353" t="s">
        <v>182</v>
      </c>
      <c r="D477" s="402" t="s">
        <v>2799</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6"/>
      <c r="S477" s="462"/>
      <c r="T477" s="91"/>
      <c r="U477" s="87"/>
      <c r="V477" s="67" t="s">
        <v>182</v>
      </c>
      <c r="X477" s="457"/>
      <c r="Y477" s="457"/>
      <c r="Z477" s="457"/>
    </row>
    <row r="478" spans="1:26" s="67" customFormat="1" ht="14.25" customHeight="1">
      <c r="A478" s="353" t="s">
        <v>37</v>
      </c>
      <c r="B478" s="353" t="s">
        <v>38</v>
      </c>
      <c r="C478" s="353" t="s">
        <v>990</v>
      </c>
      <c r="D478" s="402" t="s">
        <v>2799</v>
      </c>
      <c r="E478" s="67" t="s">
        <v>1452</v>
      </c>
      <c r="I478" s="67" t="s">
        <v>2104</v>
      </c>
      <c r="J478" s="67" t="s">
        <v>43</v>
      </c>
      <c r="K478" s="67" t="s">
        <v>43</v>
      </c>
      <c r="L478" s="67" t="s">
        <v>767</v>
      </c>
      <c r="M478" s="67" t="s">
        <v>44</v>
      </c>
      <c r="N478" s="67">
        <v>24.118618999999999</v>
      </c>
      <c r="O478" s="67">
        <v>97.298055000000005</v>
      </c>
      <c r="P478" s="67" t="s">
        <v>768</v>
      </c>
      <c r="Q478" s="67" t="s">
        <v>757</v>
      </c>
      <c r="R478" s="356"/>
      <c r="S478" s="462"/>
      <c r="T478" s="91"/>
      <c r="U478" s="87" t="s">
        <v>991</v>
      </c>
      <c r="V478" s="67" t="s">
        <v>992</v>
      </c>
      <c r="W478" s="353"/>
      <c r="X478" s="457"/>
      <c r="Y478" s="457"/>
      <c r="Z478" s="457"/>
    </row>
    <row r="479" spans="1:26" s="67" customFormat="1" ht="14.25" customHeight="1">
      <c r="A479" s="353" t="s">
        <v>37</v>
      </c>
      <c r="B479" s="353" t="s">
        <v>38</v>
      </c>
      <c r="C479" s="353" t="s">
        <v>996</v>
      </c>
      <c r="D479" s="402" t="s">
        <v>1636</v>
      </c>
      <c r="E479" s="67" t="s">
        <v>1462</v>
      </c>
      <c r="F479" s="67" t="s">
        <v>1679</v>
      </c>
      <c r="G479" s="67">
        <v>0</v>
      </c>
      <c r="I479" s="67">
        <v>0</v>
      </c>
      <c r="J479" s="67" t="s">
        <v>43</v>
      </c>
      <c r="K479" s="67" t="s">
        <v>43</v>
      </c>
      <c r="L479" s="67" t="s">
        <v>755</v>
      </c>
      <c r="M479" s="67" t="s">
        <v>773</v>
      </c>
      <c r="N479" s="67">
        <v>24.20645</v>
      </c>
      <c r="O479" s="67">
        <v>96.808850000000007</v>
      </c>
      <c r="P479" s="67" t="s">
        <v>756</v>
      </c>
      <c r="R479" s="356"/>
      <c r="S479" s="357"/>
      <c r="T479" s="91"/>
      <c r="U479" s="87"/>
      <c r="V479" s="67" t="s">
        <v>996</v>
      </c>
      <c r="W479" s="67" t="s">
        <v>2106</v>
      </c>
      <c r="X479" s="457"/>
      <c r="Y479" s="457"/>
      <c r="Z479" s="457"/>
    </row>
    <row r="480" spans="1:26" s="67" customFormat="1" ht="14.25" customHeight="1">
      <c r="A480" s="353" t="s">
        <v>37</v>
      </c>
      <c r="B480" s="353" t="s">
        <v>38</v>
      </c>
      <c r="C480" s="67" t="s">
        <v>772</v>
      </c>
      <c r="D480" s="402" t="s">
        <v>1636</v>
      </c>
      <c r="E480" s="67" t="s">
        <v>1316</v>
      </c>
      <c r="F480" s="67" t="s">
        <v>1657</v>
      </c>
      <c r="G480" s="67">
        <v>0</v>
      </c>
      <c r="I480" s="67">
        <v>0</v>
      </c>
      <c r="J480" s="67" t="s">
        <v>43</v>
      </c>
      <c r="K480" s="67" t="s">
        <v>43</v>
      </c>
      <c r="L480" s="67" t="s">
        <v>755</v>
      </c>
      <c r="M480" s="67" t="s">
        <v>773</v>
      </c>
      <c r="P480" s="67" t="s">
        <v>756</v>
      </c>
      <c r="R480" s="356"/>
      <c r="S480" s="357"/>
      <c r="T480" s="91"/>
      <c r="U480" s="87"/>
      <c r="V480" s="67" t="s">
        <v>772</v>
      </c>
      <c r="W480" s="67" t="s">
        <v>2129</v>
      </c>
      <c r="X480" s="457"/>
      <c r="Y480" s="457"/>
      <c r="Z480" s="457"/>
    </row>
    <row r="481" spans="1:26" s="67" customFormat="1" ht="14.25" customHeight="1">
      <c r="A481" s="353" t="s">
        <v>37</v>
      </c>
      <c r="B481" s="353" t="s">
        <v>38</v>
      </c>
      <c r="C481" s="67" t="s">
        <v>970</v>
      </c>
      <c r="D481" s="402"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7"/>
      <c r="T481" s="91"/>
      <c r="U481" s="87"/>
      <c r="V481" s="67" t="s">
        <v>970</v>
      </c>
      <c r="W481" s="353" t="s">
        <v>2106</v>
      </c>
      <c r="X481" s="457"/>
      <c r="Y481" s="457"/>
      <c r="Z481" s="457"/>
    </row>
    <row r="482" spans="1:26" s="67" customFormat="1" ht="14.25" customHeight="1">
      <c r="A482" s="353" t="s">
        <v>37</v>
      </c>
      <c r="B482" s="353" t="s">
        <v>38</v>
      </c>
      <c r="C482" s="353" t="s">
        <v>776</v>
      </c>
      <c r="D482" s="402" t="s">
        <v>1636</v>
      </c>
      <c r="E482" s="67" t="s">
        <v>1319</v>
      </c>
      <c r="F482" s="67" t="s">
        <v>1659</v>
      </c>
      <c r="G482" s="67">
        <v>0</v>
      </c>
      <c r="I482" s="67">
        <v>0</v>
      </c>
      <c r="J482" s="67" t="s">
        <v>43</v>
      </c>
      <c r="K482" s="67" t="s">
        <v>43</v>
      </c>
      <c r="L482" s="67" t="s">
        <v>755</v>
      </c>
      <c r="M482" s="67" t="s">
        <v>773</v>
      </c>
      <c r="P482" s="67" t="s">
        <v>756</v>
      </c>
      <c r="R482" s="356"/>
      <c r="S482" s="357"/>
      <c r="T482" s="91"/>
      <c r="U482" s="87"/>
      <c r="V482" s="67" t="s">
        <v>776</v>
      </c>
      <c r="W482" s="353" t="s">
        <v>2106</v>
      </c>
      <c r="X482" s="457"/>
      <c r="Y482" s="457"/>
      <c r="Z482" s="457"/>
    </row>
    <row r="483" spans="1:26" s="67" customFormat="1" ht="14.25" customHeight="1">
      <c r="A483" s="353" t="s">
        <v>37</v>
      </c>
      <c r="B483" s="353" t="s">
        <v>38</v>
      </c>
      <c r="C483" s="67" t="s">
        <v>971</v>
      </c>
      <c r="D483" s="402"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7"/>
      <c r="T483" s="91"/>
      <c r="U483" s="87"/>
      <c r="V483" s="67" t="s">
        <v>971</v>
      </c>
      <c r="W483" s="67" t="s">
        <v>2130</v>
      </c>
      <c r="X483" s="457"/>
      <c r="Y483" s="457"/>
      <c r="Z483" s="457"/>
    </row>
    <row r="484" spans="1:26" s="67" customFormat="1" ht="14.25" customHeight="1">
      <c r="A484" s="353" t="s">
        <v>37</v>
      </c>
      <c r="B484" s="354" t="s">
        <v>38</v>
      </c>
      <c r="C484" s="354" t="s">
        <v>784</v>
      </c>
      <c r="D484" s="402" t="s">
        <v>1636</v>
      </c>
      <c r="E484" s="353" t="s">
        <v>1324</v>
      </c>
      <c r="F484" s="353">
        <v>0</v>
      </c>
      <c r="G484" s="353">
        <v>0</v>
      </c>
      <c r="H484" s="353"/>
      <c r="I484" s="353">
        <v>0</v>
      </c>
      <c r="J484" s="353" t="s">
        <v>43</v>
      </c>
      <c r="K484" s="353" t="s">
        <v>43</v>
      </c>
      <c r="L484" s="353" t="s">
        <v>755</v>
      </c>
      <c r="M484" s="353" t="s">
        <v>44</v>
      </c>
      <c r="N484" s="353"/>
      <c r="O484" s="353"/>
      <c r="P484" s="67" t="s">
        <v>756</v>
      </c>
      <c r="Q484" s="353"/>
      <c r="R484" s="356"/>
      <c r="S484" s="357"/>
      <c r="T484" s="376"/>
      <c r="U484" s="358"/>
      <c r="V484" s="353"/>
      <c r="W484" s="67" t="s">
        <v>2131</v>
      </c>
      <c r="X484" s="457"/>
      <c r="Y484" s="457"/>
      <c r="Z484" s="457"/>
    </row>
    <row r="485" spans="1:26" s="67" customFormat="1" ht="14.25" customHeight="1">
      <c r="A485" s="353" t="s">
        <v>37</v>
      </c>
      <c r="B485" s="354" t="s">
        <v>38</v>
      </c>
      <c r="C485" s="354" t="s">
        <v>128</v>
      </c>
      <c r="D485" s="402" t="s">
        <v>1635</v>
      </c>
      <c r="J485" s="67" t="s">
        <v>1443</v>
      </c>
      <c r="K485" s="67" t="s">
        <v>43</v>
      </c>
      <c r="L485" s="67" t="s">
        <v>43</v>
      </c>
      <c r="M485" s="67" t="s">
        <v>44</v>
      </c>
      <c r="P485" s="67" t="s">
        <v>756</v>
      </c>
      <c r="Q485" s="67" t="s">
        <v>775</v>
      </c>
      <c r="R485" s="356"/>
      <c r="S485" s="86"/>
      <c r="T485" s="91">
        <v>42747</v>
      </c>
      <c r="U485" s="87" t="s">
        <v>1090</v>
      </c>
      <c r="X485" s="457"/>
      <c r="Y485" s="457"/>
      <c r="Z485" s="457"/>
    </row>
    <row r="486" spans="1:26" s="67" customFormat="1" ht="14.25" customHeight="1">
      <c r="A486" s="361" t="s">
        <v>37</v>
      </c>
      <c r="B486" s="360" t="s">
        <v>141</v>
      </c>
      <c r="C486" s="354" t="s">
        <v>1937</v>
      </c>
      <c r="D486" s="402" t="s">
        <v>2799</v>
      </c>
      <c r="E486" s="67" t="s">
        <v>1943</v>
      </c>
      <c r="I486" s="67" t="s">
        <v>2104</v>
      </c>
      <c r="J486" s="67" t="s">
        <v>43</v>
      </c>
      <c r="K486" s="67" t="s">
        <v>43</v>
      </c>
      <c r="L486" s="67" t="s">
        <v>771</v>
      </c>
      <c r="M486" s="67" t="s">
        <v>44</v>
      </c>
      <c r="N486" s="353"/>
      <c r="O486" s="353"/>
      <c r="P486" s="354" t="s">
        <v>756</v>
      </c>
      <c r="Q486" s="67" t="s">
        <v>1921</v>
      </c>
      <c r="R486" s="85"/>
      <c r="S486" s="462"/>
      <c r="T486" s="91">
        <v>43276</v>
      </c>
      <c r="U486" s="87" t="s">
        <v>1968</v>
      </c>
      <c r="W486" s="348" t="s">
        <v>2238</v>
      </c>
      <c r="X486" s="457"/>
      <c r="Y486" s="457"/>
      <c r="Z486" s="457"/>
    </row>
    <row r="487" spans="1:26" s="67" customFormat="1" ht="14.25" customHeight="1">
      <c r="A487" s="353" t="s">
        <v>37</v>
      </c>
      <c r="B487" s="353" t="s">
        <v>141</v>
      </c>
      <c r="C487" s="353" t="s">
        <v>142</v>
      </c>
      <c r="D487" s="402" t="s">
        <v>2799</v>
      </c>
      <c r="E487" s="353" t="s">
        <v>1517</v>
      </c>
      <c r="F487" s="353" t="s">
        <v>1712</v>
      </c>
      <c r="G487" s="353" t="s">
        <v>1787</v>
      </c>
      <c r="H487" s="353" t="s">
        <v>41</v>
      </c>
      <c r="I487" s="353" t="s">
        <v>130</v>
      </c>
      <c r="J487" s="353" t="s">
        <v>43</v>
      </c>
      <c r="K487" s="353" t="s">
        <v>43</v>
      </c>
      <c r="L487" s="353" t="s">
        <v>43</v>
      </c>
      <c r="M487" s="353" t="s">
        <v>44</v>
      </c>
      <c r="N487" s="353">
        <v>25.305669999999999</v>
      </c>
      <c r="O487" s="353">
        <v>96.922619999999995</v>
      </c>
      <c r="P487" s="67" t="s">
        <v>756</v>
      </c>
      <c r="Q487" s="353" t="s">
        <v>775</v>
      </c>
      <c r="R487" s="356"/>
      <c r="S487" s="462"/>
      <c r="T487" s="376"/>
      <c r="U487" s="358"/>
      <c r="V487" s="353" t="s">
        <v>142</v>
      </c>
      <c r="W487" s="353"/>
      <c r="X487" s="457"/>
      <c r="Y487" s="457"/>
      <c r="Z487" s="457"/>
    </row>
    <row r="488" spans="1:26" s="67" customFormat="1" ht="14.25" customHeight="1">
      <c r="A488" s="361" t="s">
        <v>37</v>
      </c>
      <c r="B488" s="360" t="s">
        <v>141</v>
      </c>
      <c r="C488" s="361" t="s">
        <v>1965</v>
      </c>
      <c r="D488" s="355"/>
      <c r="E488" s="353"/>
      <c r="F488" s="353"/>
      <c r="G488" s="353"/>
      <c r="H488" s="353"/>
      <c r="I488" s="353"/>
      <c r="J488" s="353" t="s">
        <v>1443</v>
      </c>
      <c r="K488" s="354" t="s">
        <v>43</v>
      </c>
      <c r="L488" s="354" t="s">
        <v>771</v>
      </c>
      <c r="M488" s="353"/>
      <c r="N488" s="353"/>
      <c r="O488" s="353"/>
      <c r="P488" s="67" t="s">
        <v>1964</v>
      </c>
      <c r="Q488" s="353" t="s">
        <v>1921</v>
      </c>
      <c r="R488" s="364"/>
      <c r="S488" s="357"/>
      <c r="T488" s="376">
        <v>43285</v>
      </c>
      <c r="U488" s="358" t="s">
        <v>1970</v>
      </c>
      <c r="V488" s="353"/>
      <c r="W488" s="353"/>
      <c r="X488" s="457"/>
      <c r="Y488" s="457"/>
      <c r="Z488" s="457"/>
    </row>
    <row r="489" spans="1:26" s="67" customFormat="1" ht="14.25" customHeight="1">
      <c r="A489" s="361" t="s">
        <v>37</v>
      </c>
      <c r="B489" s="360" t="s">
        <v>141</v>
      </c>
      <c r="C489" s="354" t="s">
        <v>1936</v>
      </c>
      <c r="D489" s="402" t="s">
        <v>2799</v>
      </c>
      <c r="E489" s="67" t="s">
        <v>1941</v>
      </c>
      <c r="I489" s="67" t="s">
        <v>1308</v>
      </c>
      <c r="J489" s="67" t="s">
        <v>43</v>
      </c>
      <c r="K489" s="67" t="s">
        <v>43</v>
      </c>
      <c r="L489" s="354" t="s">
        <v>43</v>
      </c>
      <c r="M489" s="67" t="s">
        <v>44</v>
      </c>
      <c r="N489" s="67">
        <v>97.013800000000003</v>
      </c>
      <c r="O489" s="67">
        <v>25.383465999999999</v>
      </c>
      <c r="P489" s="354" t="s">
        <v>756</v>
      </c>
      <c r="Q489" s="67" t="s">
        <v>1921</v>
      </c>
      <c r="R489" s="356"/>
      <c r="S489" s="462"/>
      <c r="T489" s="91">
        <v>43276</v>
      </c>
      <c r="U489" s="87" t="s">
        <v>2197</v>
      </c>
      <c r="W489" s="348" t="s">
        <v>2239</v>
      </c>
      <c r="X489" s="457"/>
      <c r="Y489" s="457"/>
      <c r="Z489" s="457"/>
    </row>
    <row r="490" spans="1:26" s="67" customFormat="1" ht="14.25" customHeight="1">
      <c r="A490" s="361" t="s">
        <v>37</v>
      </c>
      <c r="B490" s="360" t="s">
        <v>141</v>
      </c>
      <c r="C490" s="354" t="s">
        <v>1924</v>
      </c>
      <c r="D490" s="355"/>
      <c r="J490" s="67" t="s">
        <v>1443</v>
      </c>
      <c r="K490" s="67" t="s">
        <v>43</v>
      </c>
      <c r="L490" s="67" t="s">
        <v>43</v>
      </c>
      <c r="M490" s="67" t="s">
        <v>44</v>
      </c>
      <c r="P490" s="67" t="s">
        <v>756</v>
      </c>
      <c r="Q490" s="67" t="s">
        <v>1921</v>
      </c>
      <c r="R490" s="364"/>
      <c r="S490" s="86"/>
      <c r="T490" s="91">
        <v>43270</v>
      </c>
      <c r="U490" s="87"/>
      <c r="W490" s="353"/>
      <c r="X490" s="457"/>
      <c r="Y490" s="457"/>
      <c r="Z490" s="457"/>
    </row>
    <row r="491" spans="1:26" s="67" customFormat="1" ht="14.25" customHeight="1">
      <c r="A491" s="361" t="s">
        <v>37</v>
      </c>
      <c r="B491" s="360" t="s">
        <v>141</v>
      </c>
      <c r="C491" s="354" t="s">
        <v>1923</v>
      </c>
      <c r="D491" s="355"/>
      <c r="J491" s="67" t="s">
        <v>1443</v>
      </c>
      <c r="K491" s="353" t="s">
        <v>43</v>
      </c>
      <c r="L491" s="353" t="s">
        <v>43</v>
      </c>
      <c r="M491" s="67" t="s">
        <v>44</v>
      </c>
      <c r="P491" s="67" t="s">
        <v>756</v>
      </c>
      <c r="Q491" s="67" t="s">
        <v>1921</v>
      </c>
      <c r="R491" s="364"/>
      <c r="S491" s="357"/>
      <c r="T491" s="91">
        <v>43270</v>
      </c>
      <c r="U491" s="87"/>
      <c r="W491" s="353"/>
      <c r="X491" s="457"/>
      <c r="Y491" s="457"/>
      <c r="Z491" s="457"/>
    </row>
    <row r="492" spans="1:26" s="67" customFormat="1" ht="14.25" customHeight="1">
      <c r="A492" s="353" t="s">
        <v>37</v>
      </c>
      <c r="B492" s="353" t="s">
        <v>141</v>
      </c>
      <c r="C492" s="353" t="s">
        <v>2098</v>
      </c>
      <c r="D492" s="402" t="s">
        <v>2799</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6"/>
      <c r="S492" s="462"/>
      <c r="T492" s="91"/>
      <c r="U492" s="87"/>
      <c r="V492" s="67" t="s">
        <v>143</v>
      </c>
      <c r="W492" s="353"/>
      <c r="X492" s="457"/>
      <c r="Y492" s="457"/>
      <c r="Z492" s="457"/>
    </row>
    <row r="493" spans="1:26" s="67" customFormat="1" ht="14.25" customHeight="1">
      <c r="A493" s="353" t="s">
        <v>37</v>
      </c>
      <c r="B493" s="353" t="s">
        <v>141</v>
      </c>
      <c r="C493" s="353" t="s">
        <v>229</v>
      </c>
      <c r="D493" s="402" t="s">
        <v>1713</v>
      </c>
      <c r="E493" s="67" t="s">
        <v>1514</v>
      </c>
      <c r="F493" s="67" t="s">
        <v>1784</v>
      </c>
      <c r="G493" s="67" t="s">
        <v>1785</v>
      </c>
      <c r="I493" s="353">
        <v>0</v>
      </c>
      <c r="J493" s="67" t="s">
        <v>43</v>
      </c>
      <c r="K493" s="67" t="s">
        <v>43</v>
      </c>
      <c r="L493" s="67" t="s">
        <v>755</v>
      </c>
      <c r="M493" s="67" t="s">
        <v>44</v>
      </c>
      <c r="N493" s="67">
        <v>25.299679999999999</v>
      </c>
      <c r="O493" s="67">
        <v>96.942279999999997</v>
      </c>
      <c r="P493" s="67" t="s">
        <v>756</v>
      </c>
      <c r="Q493" s="67" t="s">
        <v>775</v>
      </c>
      <c r="R493" s="85"/>
      <c r="S493" s="357"/>
      <c r="T493" s="91">
        <v>42836</v>
      </c>
      <c r="U493" s="87" t="s">
        <v>2644</v>
      </c>
      <c r="V493" s="67" t="s">
        <v>229</v>
      </c>
      <c r="W493" s="348" t="s">
        <v>2132</v>
      </c>
      <c r="X493" s="457"/>
      <c r="Y493" s="457"/>
      <c r="Z493" s="457"/>
    </row>
    <row r="494" spans="1:26" s="67" customFormat="1" ht="14.25" customHeight="1">
      <c r="A494" s="361" t="s">
        <v>37</v>
      </c>
      <c r="B494" s="360" t="s">
        <v>141</v>
      </c>
      <c r="C494" s="354" t="s">
        <v>1935</v>
      </c>
      <c r="D494" s="402" t="s">
        <v>2799</v>
      </c>
      <c r="E494" s="67" t="s">
        <v>1940</v>
      </c>
      <c r="I494" s="67" t="s">
        <v>1308</v>
      </c>
      <c r="J494" s="67" t="s">
        <v>43</v>
      </c>
      <c r="K494" s="353" t="s">
        <v>43</v>
      </c>
      <c r="L494" s="354" t="s">
        <v>43</v>
      </c>
      <c r="M494" s="67" t="s">
        <v>44</v>
      </c>
      <c r="N494" s="67">
        <v>97.010629910000006</v>
      </c>
      <c r="O494" s="67">
        <v>25.37033053</v>
      </c>
      <c r="P494" s="354" t="s">
        <v>756</v>
      </c>
      <c r="Q494" s="67" t="s">
        <v>1921</v>
      </c>
      <c r="R494" s="356"/>
      <c r="S494" s="462"/>
      <c r="T494" s="91">
        <v>43276</v>
      </c>
      <c r="U494" s="362" t="s">
        <v>1969</v>
      </c>
      <c r="W494" s="348" t="s">
        <v>2239</v>
      </c>
      <c r="X494" s="457"/>
      <c r="Y494" s="457"/>
      <c r="Z494" s="457"/>
    </row>
    <row r="495" spans="1:26" s="67" customFormat="1" ht="14.25" customHeight="1">
      <c r="A495" s="357" t="s">
        <v>37</v>
      </c>
      <c r="B495" s="360" t="s">
        <v>141</v>
      </c>
      <c r="C495" s="361" t="s">
        <v>2003</v>
      </c>
      <c r="D495" s="355"/>
      <c r="J495" s="67" t="s">
        <v>1443</v>
      </c>
      <c r="K495" s="353" t="s">
        <v>43</v>
      </c>
      <c r="L495" s="353" t="s">
        <v>771</v>
      </c>
      <c r="M495" s="67" t="s">
        <v>44</v>
      </c>
      <c r="P495" s="354" t="s">
        <v>1962</v>
      </c>
      <c r="R495" s="364"/>
      <c r="S495" s="357"/>
      <c r="T495" s="91">
        <v>43298</v>
      </c>
      <c r="U495" s="87"/>
      <c r="W495" s="353"/>
      <c r="X495" s="457"/>
      <c r="Y495" s="457"/>
      <c r="Z495" s="457"/>
    </row>
    <row r="496" spans="1:26" s="67" customFormat="1" ht="14.25" customHeight="1">
      <c r="A496" s="353" t="s">
        <v>37</v>
      </c>
      <c r="B496" s="353" t="s">
        <v>141</v>
      </c>
      <c r="C496" s="353" t="s">
        <v>1117</v>
      </c>
      <c r="D496" s="402" t="s">
        <v>1636</v>
      </c>
      <c r="E496" s="353" t="s">
        <v>1950</v>
      </c>
      <c r="F496" s="353" t="s">
        <v>1712</v>
      </c>
      <c r="G496" s="353" t="s">
        <v>1117</v>
      </c>
      <c r="H496" s="353"/>
      <c r="I496" s="353">
        <v>0</v>
      </c>
      <c r="J496" s="353" t="s">
        <v>43</v>
      </c>
      <c r="K496" s="353" t="s">
        <v>43</v>
      </c>
      <c r="L496" s="353" t="s">
        <v>755</v>
      </c>
      <c r="M496" s="353" t="s">
        <v>44</v>
      </c>
      <c r="N496" s="353"/>
      <c r="O496" s="353"/>
      <c r="P496" s="353" t="s">
        <v>756</v>
      </c>
      <c r="Q496" s="353" t="s">
        <v>921</v>
      </c>
      <c r="R496" s="356"/>
      <c r="S496" s="357"/>
      <c r="T496" s="376"/>
      <c r="U496" s="358" t="s">
        <v>1118</v>
      </c>
      <c r="V496" s="353"/>
      <c r="W496" s="67" t="s">
        <v>2133</v>
      </c>
      <c r="X496" s="457"/>
      <c r="Y496" s="457"/>
      <c r="Z496" s="457"/>
    </row>
    <row r="497" spans="1:26" s="67" customFormat="1" ht="14.25" customHeight="1">
      <c r="A497" s="361" t="s">
        <v>37</v>
      </c>
      <c r="B497" s="360" t="s">
        <v>141</v>
      </c>
      <c r="C497" s="354" t="s">
        <v>2097</v>
      </c>
      <c r="D497" s="402" t="s">
        <v>2799</v>
      </c>
      <c r="E497" s="67" t="s">
        <v>1942</v>
      </c>
      <c r="I497" s="353" t="s">
        <v>130</v>
      </c>
      <c r="J497" s="67" t="s">
        <v>43</v>
      </c>
      <c r="K497" s="67" t="s">
        <v>43</v>
      </c>
      <c r="L497" s="67" t="s">
        <v>43</v>
      </c>
      <c r="M497" s="67" t="s">
        <v>44</v>
      </c>
      <c r="N497" s="67">
        <v>97.104997409999996</v>
      </c>
      <c r="O497" s="67">
        <v>25.379014999999999</v>
      </c>
      <c r="P497" s="354" t="s">
        <v>756</v>
      </c>
      <c r="Q497" s="67" t="s">
        <v>1921</v>
      </c>
      <c r="R497" s="356"/>
      <c r="S497" s="462"/>
      <c r="T497" s="91">
        <v>43276</v>
      </c>
      <c r="U497" s="362" t="s">
        <v>1969</v>
      </c>
      <c r="W497" s="348" t="s">
        <v>2240</v>
      </c>
      <c r="X497" s="457"/>
      <c r="Y497" s="457"/>
      <c r="Z497" s="457"/>
    </row>
    <row r="498" spans="1:26" s="67" customFormat="1" ht="14.25" customHeight="1">
      <c r="A498" s="353" t="s">
        <v>37</v>
      </c>
      <c r="B498" s="353" t="s">
        <v>141</v>
      </c>
      <c r="C498" s="353" t="s">
        <v>144</v>
      </c>
      <c r="D498" s="402" t="s">
        <v>2799</v>
      </c>
      <c r="E498" s="67" t="s">
        <v>1515</v>
      </c>
      <c r="F498" s="67" t="s">
        <v>1712</v>
      </c>
      <c r="G498" s="67" t="s">
        <v>1786</v>
      </c>
      <c r="H498" s="67" t="s">
        <v>41</v>
      </c>
      <c r="I498" s="67" t="s">
        <v>130</v>
      </c>
      <c r="J498" s="67" t="s">
        <v>43</v>
      </c>
      <c r="K498" s="67" t="s">
        <v>43</v>
      </c>
      <c r="L498" s="67" t="s">
        <v>43</v>
      </c>
      <c r="M498" s="67" t="s">
        <v>44</v>
      </c>
      <c r="N498" s="67">
        <v>25.30442</v>
      </c>
      <c r="O498" s="67">
        <v>96.948740000000001</v>
      </c>
      <c r="P498" s="353" t="s">
        <v>756</v>
      </c>
      <c r="Q498" s="67" t="s">
        <v>775</v>
      </c>
      <c r="R498" s="356"/>
      <c r="S498" s="462"/>
      <c r="T498" s="91"/>
      <c r="U498" s="87"/>
      <c r="V498" s="67" t="s">
        <v>144</v>
      </c>
      <c r="W498" s="353"/>
      <c r="X498" s="457"/>
      <c r="Y498" s="457"/>
      <c r="Z498" s="457"/>
    </row>
    <row r="499" spans="1:26" s="67" customFormat="1" ht="14.25" customHeight="1">
      <c r="A499" s="353" t="s">
        <v>37</v>
      </c>
      <c r="B499" s="354" t="s">
        <v>141</v>
      </c>
      <c r="C499" s="354" t="s">
        <v>1035</v>
      </c>
      <c r="D499" s="402"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6"/>
      <c r="S499" s="357"/>
      <c r="T499" s="91">
        <v>42983</v>
      </c>
      <c r="U499" s="87" t="s">
        <v>1036</v>
      </c>
      <c r="V499" s="353" t="s">
        <v>1037</v>
      </c>
      <c r="W499" s="348" t="s">
        <v>2134</v>
      </c>
      <c r="X499" s="457"/>
      <c r="Y499" s="457"/>
      <c r="Z499" s="457"/>
    </row>
    <row r="500" spans="1:26" s="67" customFormat="1" ht="14.25" customHeight="1">
      <c r="A500" s="353" t="s">
        <v>37</v>
      </c>
      <c r="B500" s="354" t="s">
        <v>141</v>
      </c>
      <c r="C500" s="354" t="s">
        <v>145</v>
      </c>
      <c r="D500" s="402" t="s">
        <v>2799</v>
      </c>
      <c r="E500" s="67" t="s">
        <v>1511</v>
      </c>
      <c r="F500" s="67" t="s">
        <v>1694</v>
      </c>
      <c r="G500" s="67" t="s">
        <v>1694</v>
      </c>
      <c r="H500" s="67" t="s">
        <v>41</v>
      </c>
      <c r="I500" s="67" t="s">
        <v>130</v>
      </c>
      <c r="J500" s="67" t="s">
        <v>43</v>
      </c>
      <c r="K500" s="67" t="s">
        <v>43</v>
      </c>
      <c r="L500" s="353" t="s">
        <v>43</v>
      </c>
      <c r="M500" s="67" t="s">
        <v>44</v>
      </c>
      <c r="N500" s="67">
        <v>25.225000000000001</v>
      </c>
      <c r="O500" s="67">
        <v>96.793999999999997</v>
      </c>
      <c r="P500" s="67" t="s">
        <v>756</v>
      </c>
      <c r="Q500" s="67" t="s">
        <v>775</v>
      </c>
      <c r="R500" s="356"/>
      <c r="S500" s="462"/>
      <c r="T500" s="91"/>
      <c r="U500" s="87"/>
      <c r="V500" s="353" t="s">
        <v>145</v>
      </c>
      <c r="W500" s="353"/>
      <c r="X500" s="457"/>
      <c r="Y500" s="457"/>
      <c r="Z500" s="457"/>
    </row>
    <row r="501" spans="1:26" s="67" customFormat="1" ht="14.25" customHeight="1">
      <c r="A501" s="353" t="s">
        <v>37</v>
      </c>
      <c r="B501" s="353" t="s">
        <v>146</v>
      </c>
      <c r="C501" s="353" t="s">
        <v>1029</v>
      </c>
      <c r="D501" s="402" t="s">
        <v>2799</v>
      </c>
      <c r="E501" s="67" t="s">
        <v>1503</v>
      </c>
      <c r="F501" s="67" t="s">
        <v>1845</v>
      </c>
      <c r="G501" s="67" t="s">
        <v>1846</v>
      </c>
      <c r="I501" s="67" t="s">
        <v>2104</v>
      </c>
      <c r="J501" s="67" t="s">
        <v>43</v>
      </c>
      <c r="K501" s="67" t="s">
        <v>43</v>
      </c>
      <c r="L501" s="353" t="s">
        <v>767</v>
      </c>
      <c r="M501" s="67" t="s">
        <v>44</v>
      </c>
      <c r="N501" s="67">
        <v>24.996279999999999</v>
      </c>
      <c r="O501" s="67">
        <v>96.52534</v>
      </c>
      <c r="P501" s="353" t="s">
        <v>768</v>
      </c>
      <c r="Q501" s="67" t="s">
        <v>757</v>
      </c>
      <c r="R501" s="356"/>
      <c r="S501" s="462"/>
      <c r="T501" s="91"/>
      <c r="U501" s="87" t="s">
        <v>1026</v>
      </c>
      <c r="V501" s="67" t="s">
        <v>1029</v>
      </c>
      <c r="W501" s="353"/>
      <c r="X501" s="457"/>
      <c r="Y501" s="457"/>
      <c r="Z501" s="457"/>
    </row>
    <row r="502" spans="1:26" s="67" customFormat="1" ht="14.25" customHeight="1">
      <c r="A502" s="353" t="s">
        <v>37</v>
      </c>
      <c r="B502" s="353" t="s">
        <v>146</v>
      </c>
      <c r="C502" s="353" t="s">
        <v>1025</v>
      </c>
      <c r="D502" s="402" t="s">
        <v>2799</v>
      </c>
      <c r="E502" s="353" t="s">
        <v>1500</v>
      </c>
      <c r="F502" s="67" t="s">
        <v>1776</v>
      </c>
      <c r="G502" s="67">
        <v>0</v>
      </c>
      <c r="I502" s="67" t="s">
        <v>2104</v>
      </c>
      <c r="J502" s="67" t="s">
        <v>43</v>
      </c>
      <c r="K502" s="67" t="s">
        <v>43</v>
      </c>
      <c r="L502" s="67" t="s">
        <v>767</v>
      </c>
      <c r="M502" s="67" t="s">
        <v>44</v>
      </c>
      <c r="N502" s="67">
        <v>24.764959999999999</v>
      </c>
      <c r="O502" s="67">
        <v>96.366919999999993</v>
      </c>
      <c r="P502" s="353" t="s">
        <v>768</v>
      </c>
      <c r="Q502" s="67" t="s">
        <v>757</v>
      </c>
      <c r="R502" s="356"/>
      <c r="S502" s="462"/>
      <c r="T502" s="91"/>
      <c r="U502" s="87" t="s">
        <v>1026</v>
      </c>
      <c r="V502" s="67" t="s">
        <v>1025</v>
      </c>
      <c r="W502" s="353"/>
      <c r="X502" s="457"/>
      <c r="Y502" s="457"/>
      <c r="Z502" s="457"/>
    </row>
    <row r="503" spans="1:26" s="67" customFormat="1" ht="14.25" customHeight="1">
      <c r="A503" s="353" t="s">
        <v>37</v>
      </c>
      <c r="B503" s="353" t="s">
        <v>146</v>
      </c>
      <c r="C503" s="353" t="s">
        <v>146</v>
      </c>
      <c r="D503" s="402" t="s">
        <v>1635</v>
      </c>
      <c r="J503" s="67" t="s">
        <v>793</v>
      </c>
      <c r="K503" s="353" t="s">
        <v>793</v>
      </c>
      <c r="L503" s="353" t="s">
        <v>793</v>
      </c>
      <c r="P503" s="67" t="s">
        <v>794</v>
      </c>
      <c r="R503" s="356"/>
      <c r="S503" s="357"/>
      <c r="T503" s="91"/>
      <c r="U503" s="87"/>
      <c r="V503" s="67" t="s">
        <v>146</v>
      </c>
      <c r="W503" s="353"/>
      <c r="X503" s="457"/>
      <c r="Y503" s="457"/>
      <c r="Z503" s="457"/>
    </row>
    <row r="504" spans="1:26" s="67" customFormat="1" ht="14.25" customHeight="1">
      <c r="A504" s="353" t="s">
        <v>37</v>
      </c>
      <c r="B504" s="353" t="s">
        <v>146</v>
      </c>
      <c r="C504" s="67" t="s">
        <v>1030</v>
      </c>
      <c r="D504" s="402" t="s">
        <v>1636</v>
      </c>
      <c r="E504" s="67" t="s">
        <v>1504</v>
      </c>
      <c r="F504" s="67" t="s">
        <v>1691</v>
      </c>
      <c r="G504" s="67" t="s">
        <v>1691</v>
      </c>
      <c r="H504" s="67" t="s">
        <v>41</v>
      </c>
      <c r="I504" s="353" t="s">
        <v>130</v>
      </c>
      <c r="J504" s="67" t="s">
        <v>43</v>
      </c>
      <c r="K504" s="67" t="s">
        <v>43</v>
      </c>
      <c r="L504" s="353" t="s">
        <v>755</v>
      </c>
      <c r="M504" s="67" t="s">
        <v>44</v>
      </c>
      <c r="N504" s="353">
        <v>24.998349999999999</v>
      </c>
      <c r="O504" s="353">
        <v>96.364949999999993</v>
      </c>
      <c r="P504" s="67" t="s">
        <v>756</v>
      </c>
      <c r="R504" s="356"/>
      <c r="S504" s="357"/>
      <c r="T504" s="91"/>
      <c r="U504" s="87"/>
      <c r="V504" s="67" t="s">
        <v>1030</v>
      </c>
      <c r="W504" s="353" t="s">
        <v>2135</v>
      </c>
      <c r="X504" s="457"/>
      <c r="Y504" s="457"/>
      <c r="Z504" s="457"/>
    </row>
    <row r="505" spans="1:26" s="67" customFormat="1" ht="14.25" customHeight="1">
      <c r="A505" s="353" t="s">
        <v>37</v>
      </c>
      <c r="B505" s="353" t="s">
        <v>146</v>
      </c>
      <c r="C505" s="353" t="s">
        <v>147</v>
      </c>
      <c r="D505" s="402" t="s">
        <v>2799</v>
      </c>
      <c r="E505" s="353" t="s">
        <v>1505</v>
      </c>
      <c r="H505" s="67" t="s">
        <v>41</v>
      </c>
      <c r="I505" s="353" t="s">
        <v>130</v>
      </c>
      <c r="J505" s="67" t="s">
        <v>43</v>
      </c>
      <c r="K505" s="67" t="s">
        <v>43</v>
      </c>
      <c r="L505" s="67" t="s">
        <v>43</v>
      </c>
      <c r="M505" s="67" t="s">
        <v>44</v>
      </c>
      <c r="N505" s="353">
        <v>24.998349999999999</v>
      </c>
      <c r="O505" s="353">
        <v>96.364949999999993</v>
      </c>
      <c r="P505" s="67" t="s">
        <v>756</v>
      </c>
      <c r="Q505" s="67" t="s">
        <v>775</v>
      </c>
      <c r="R505" s="356"/>
      <c r="S505" s="462"/>
      <c r="T505" s="91"/>
      <c r="U505" s="87"/>
      <c r="V505" s="67" t="s">
        <v>1031</v>
      </c>
      <c r="W505" s="348" t="s">
        <v>2241</v>
      </c>
      <c r="X505" s="457"/>
      <c r="Y505" s="457"/>
      <c r="Z505" s="457"/>
    </row>
    <row r="506" spans="1:26" s="67" customFormat="1" ht="14.25" customHeight="1">
      <c r="A506" s="353" t="s">
        <v>37</v>
      </c>
      <c r="B506" s="354" t="s">
        <v>146</v>
      </c>
      <c r="C506" s="354" t="s">
        <v>228</v>
      </c>
      <c r="D506" s="402" t="s">
        <v>2799</v>
      </c>
      <c r="E506" s="353" t="s">
        <v>1499</v>
      </c>
      <c r="F506" s="67" t="s">
        <v>1776</v>
      </c>
      <c r="G506" s="67" t="s">
        <v>1777</v>
      </c>
      <c r="H506" s="67" t="s">
        <v>41</v>
      </c>
      <c r="I506" s="353" t="s">
        <v>1308</v>
      </c>
      <c r="J506" s="67" t="s">
        <v>43</v>
      </c>
      <c r="K506" s="353" t="s">
        <v>43</v>
      </c>
      <c r="L506" s="353" t="s">
        <v>43</v>
      </c>
      <c r="M506" s="67" t="s">
        <v>44</v>
      </c>
      <c r="N506" s="353">
        <v>24.764800000000001</v>
      </c>
      <c r="O506" s="353">
        <v>96.367059999999995</v>
      </c>
      <c r="P506" s="353" t="s">
        <v>756</v>
      </c>
      <c r="Q506" s="67" t="s">
        <v>775</v>
      </c>
      <c r="R506" s="356"/>
      <c r="S506" s="462"/>
      <c r="T506" s="91"/>
      <c r="U506" s="87"/>
      <c r="V506" s="67" t="s">
        <v>228</v>
      </c>
      <c r="X506" s="457"/>
      <c r="Y506" s="457"/>
      <c r="Z506" s="457"/>
    </row>
    <row r="507" spans="1:26" s="67" customFormat="1" ht="14.25" customHeight="1">
      <c r="A507" s="357" t="s">
        <v>37</v>
      </c>
      <c r="B507" s="360" t="s">
        <v>2004</v>
      </c>
      <c r="C507" s="361" t="s">
        <v>2009</v>
      </c>
      <c r="D507" s="355"/>
      <c r="I507" s="353"/>
      <c r="J507" s="67" t="s">
        <v>1443</v>
      </c>
      <c r="K507" s="354" t="s">
        <v>43</v>
      </c>
      <c r="L507" s="354" t="s">
        <v>771</v>
      </c>
      <c r="M507" s="67" t="s">
        <v>773</v>
      </c>
      <c r="N507" s="353"/>
      <c r="O507" s="353"/>
      <c r="P507" s="67" t="s">
        <v>756</v>
      </c>
      <c r="R507" s="364"/>
      <c r="S507" s="357"/>
      <c r="T507" s="91">
        <v>43298</v>
      </c>
      <c r="U507" s="87"/>
      <c r="W507" s="353"/>
      <c r="X507" s="457"/>
      <c r="Y507" s="457"/>
      <c r="Z507" s="457"/>
    </row>
    <row r="508" spans="1:26" s="67" customFormat="1" ht="14.25" customHeight="1">
      <c r="A508" s="353" t="s">
        <v>37</v>
      </c>
      <c r="B508" s="353" t="s">
        <v>194</v>
      </c>
      <c r="C508" s="353" t="s">
        <v>195</v>
      </c>
      <c r="D508" s="402" t="s">
        <v>1635</v>
      </c>
      <c r="J508" s="67" t="s">
        <v>1443</v>
      </c>
      <c r="K508" s="67" t="s">
        <v>43</v>
      </c>
      <c r="L508" s="67" t="s">
        <v>43</v>
      </c>
      <c r="M508" s="67" t="s">
        <v>44</v>
      </c>
      <c r="N508" s="353"/>
      <c r="O508" s="353"/>
      <c r="P508" s="67" t="s">
        <v>756</v>
      </c>
      <c r="Q508" s="67" t="s">
        <v>775</v>
      </c>
      <c r="R508" s="356"/>
      <c r="S508" s="357"/>
      <c r="T508" s="91"/>
      <c r="U508" s="87" t="s">
        <v>1085</v>
      </c>
      <c r="V508" s="67" t="s">
        <v>195</v>
      </c>
      <c r="W508" s="353"/>
      <c r="X508" s="457"/>
      <c r="Y508" s="457"/>
      <c r="Z508" s="457"/>
    </row>
    <row r="509" spans="1:26" s="67" customFormat="1" ht="14.25" customHeight="1">
      <c r="A509" s="353" t="s">
        <v>37</v>
      </c>
      <c r="B509" s="353" t="s">
        <v>194</v>
      </c>
      <c r="C509" s="353" t="s">
        <v>1016</v>
      </c>
      <c r="D509" s="402" t="s">
        <v>1636</v>
      </c>
      <c r="E509" s="67" t="s">
        <v>1491</v>
      </c>
      <c r="F509" s="67" t="s">
        <v>1684</v>
      </c>
      <c r="G509" s="67" t="s">
        <v>1685</v>
      </c>
      <c r="I509" s="67">
        <v>0</v>
      </c>
      <c r="J509" s="67" t="s">
        <v>43</v>
      </c>
      <c r="K509" s="67" t="s">
        <v>43</v>
      </c>
      <c r="L509" s="67" t="s">
        <v>755</v>
      </c>
      <c r="M509" s="67" t="s">
        <v>44</v>
      </c>
      <c r="N509" s="353">
        <v>24.613976000000001</v>
      </c>
      <c r="O509" s="353">
        <v>97.461271999999994</v>
      </c>
      <c r="P509" s="353" t="s">
        <v>756</v>
      </c>
      <c r="Q509" s="353" t="s">
        <v>757</v>
      </c>
      <c r="R509" s="356"/>
      <c r="S509" s="357"/>
      <c r="T509" s="376">
        <v>42983</v>
      </c>
      <c r="U509" s="87" t="s">
        <v>1017</v>
      </c>
      <c r="V509" s="353" t="s">
        <v>1016</v>
      </c>
      <c r="W509" s="348" t="s">
        <v>2136</v>
      </c>
      <c r="X509" s="457"/>
      <c r="Y509" s="457"/>
      <c r="Z509" s="457"/>
    </row>
    <row r="510" spans="1:26" s="67" customFormat="1" ht="14.25" customHeight="1">
      <c r="A510" s="353" t="s">
        <v>37</v>
      </c>
      <c r="B510" s="353" t="s">
        <v>194</v>
      </c>
      <c r="C510" s="353" t="s">
        <v>221</v>
      </c>
      <c r="D510" s="402" t="s">
        <v>2799</v>
      </c>
      <c r="E510" s="67" t="s">
        <v>1489</v>
      </c>
      <c r="F510" s="67" t="s">
        <v>1772</v>
      </c>
      <c r="G510" s="67" t="s">
        <v>1773</v>
      </c>
      <c r="H510" s="67" t="s">
        <v>41</v>
      </c>
      <c r="I510" s="67" t="s">
        <v>1308</v>
      </c>
      <c r="J510" s="67" t="s">
        <v>43</v>
      </c>
      <c r="K510" s="67" t="s">
        <v>43</v>
      </c>
      <c r="L510" s="67" t="s">
        <v>43</v>
      </c>
      <c r="M510" s="67" t="s">
        <v>773</v>
      </c>
      <c r="N510" s="353">
        <v>24.461033</v>
      </c>
      <c r="O510" s="353">
        <v>97.537099999999995</v>
      </c>
      <c r="P510" s="353" t="s">
        <v>756</v>
      </c>
      <c r="Q510" s="67" t="s">
        <v>775</v>
      </c>
      <c r="R510" s="356"/>
      <c r="S510" s="462"/>
      <c r="T510" s="91"/>
      <c r="U510" s="87"/>
      <c r="V510" s="67" t="s">
        <v>221</v>
      </c>
      <c r="W510" s="353"/>
      <c r="X510" s="457"/>
      <c r="Y510" s="457"/>
      <c r="Z510" s="457"/>
    </row>
    <row r="511" spans="1:26" s="67" customFormat="1" ht="14.25" customHeight="1">
      <c r="A511" s="353" t="s">
        <v>37</v>
      </c>
      <c r="B511" s="353" t="s">
        <v>194</v>
      </c>
      <c r="C511" s="353" t="s">
        <v>206</v>
      </c>
      <c r="D511" s="402" t="s">
        <v>2799</v>
      </c>
      <c r="E511" s="67" t="s">
        <v>1493</v>
      </c>
      <c r="F511" s="67" t="s">
        <v>1774</v>
      </c>
      <c r="G511" s="67" t="s">
        <v>1775</v>
      </c>
      <c r="H511" s="67" t="s">
        <v>41</v>
      </c>
      <c r="I511" s="67" t="s">
        <v>1308</v>
      </c>
      <c r="J511" s="67" t="s">
        <v>43</v>
      </c>
      <c r="K511" s="67" t="s">
        <v>43</v>
      </c>
      <c r="L511" s="67" t="s">
        <v>43</v>
      </c>
      <c r="M511" s="67" t="s">
        <v>773</v>
      </c>
      <c r="N511" s="353">
        <v>24.661905999999998</v>
      </c>
      <c r="O511" s="353">
        <v>97.573126000000002</v>
      </c>
      <c r="P511" s="17" t="s">
        <v>1964</v>
      </c>
      <c r="Q511" s="353" t="s">
        <v>775</v>
      </c>
      <c r="R511" s="356"/>
      <c r="S511" s="462"/>
      <c r="T511" s="376"/>
      <c r="U511" s="87"/>
      <c r="V511" s="67" t="s">
        <v>206</v>
      </c>
      <c r="W511" s="353"/>
      <c r="X511" s="457"/>
      <c r="Y511" s="457"/>
      <c r="Z511" s="457"/>
    </row>
    <row r="512" spans="1:26" s="67" customFormat="1" ht="14.25" customHeight="1">
      <c r="A512" s="353" t="s">
        <v>37</v>
      </c>
      <c r="B512" s="353" t="s">
        <v>194</v>
      </c>
      <c r="C512" s="353" t="s">
        <v>279</v>
      </c>
      <c r="D512" s="402" t="s">
        <v>2799</v>
      </c>
      <c r="E512" s="67" t="s">
        <v>1494</v>
      </c>
      <c r="F512" s="67" t="s">
        <v>1774</v>
      </c>
      <c r="G512" s="67" t="s">
        <v>1775</v>
      </c>
      <c r="H512" s="67" t="s">
        <v>41</v>
      </c>
      <c r="I512" s="353" t="s">
        <v>1308</v>
      </c>
      <c r="J512" s="67" t="s">
        <v>43</v>
      </c>
      <c r="K512" s="67" t="s">
        <v>43</v>
      </c>
      <c r="L512" s="67" t="s">
        <v>43</v>
      </c>
      <c r="M512" s="67" t="s">
        <v>773</v>
      </c>
      <c r="N512" s="353">
        <v>24.688338999999999</v>
      </c>
      <c r="O512" s="353">
        <v>97.568331999999998</v>
      </c>
      <c r="P512" s="17" t="s">
        <v>1964</v>
      </c>
      <c r="Q512" s="67" t="s">
        <v>775</v>
      </c>
      <c r="R512" s="356"/>
      <c r="S512" s="462"/>
      <c r="T512" s="91"/>
      <c r="U512" s="87"/>
      <c r="V512" s="67" t="s">
        <v>279</v>
      </c>
      <c r="X512" s="457"/>
      <c r="Y512" s="457"/>
      <c r="Z512" s="457"/>
    </row>
    <row r="513" spans="1:26" s="67" customFormat="1" ht="14.25" customHeight="1">
      <c r="A513" s="353" t="s">
        <v>37</v>
      </c>
      <c r="B513" s="353" t="s">
        <v>194</v>
      </c>
      <c r="C513" s="353" t="s">
        <v>196</v>
      </c>
      <c r="D513" s="402" t="s">
        <v>1635</v>
      </c>
      <c r="J513" s="67" t="s">
        <v>1443</v>
      </c>
      <c r="K513" s="67" t="s">
        <v>43</v>
      </c>
      <c r="L513" s="353" t="s">
        <v>43</v>
      </c>
      <c r="M513" s="67" t="s">
        <v>44</v>
      </c>
      <c r="N513" s="353"/>
      <c r="O513" s="353"/>
      <c r="P513" s="353" t="s">
        <v>756</v>
      </c>
      <c r="Q513" s="67" t="s">
        <v>775</v>
      </c>
      <c r="R513" s="356"/>
      <c r="S513" s="357"/>
      <c r="T513" s="91"/>
      <c r="U513" s="358" t="s">
        <v>1085</v>
      </c>
      <c r="V513" s="67" t="s">
        <v>196</v>
      </c>
      <c r="W513" s="353"/>
      <c r="X513" s="457"/>
      <c r="Y513" s="457"/>
      <c r="Z513" s="457"/>
    </row>
    <row r="514" spans="1:26" s="67" customFormat="1" ht="14.25" customHeight="1">
      <c r="A514" s="353" t="s">
        <v>37</v>
      </c>
      <c r="B514" s="353" t="s">
        <v>194</v>
      </c>
      <c r="C514" s="353" t="s">
        <v>198</v>
      </c>
      <c r="D514" s="402" t="s">
        <v>1635</v>
      </c>
      <c r="H514" s="353"/>
      <c r="J514" s="67" t="s">
        <v>1443</v>
      </c>
      <c r="K514" s="353" t="s">
        <v>43</v>
      </c>
      <c r="L514" s="353" t="s">
        <v>43</v>
      </c>
      <c r="M514" s="67" t="s">
        <v>44</v>
      </c>
      <c r="N514" s="353"/>
      <c r="O514" s="353"/>
      <c r="P514" s="353" t="s">
        <v>756</v>
      </c>
      <c r="Q514" s="67" t="s">
        <v>775</v>
      </c>
      <c r="R514" s="356"/>
      <c r="S514" s="357"/>
      <c r="T514" s="91"/>
      <c r="U514" s="87" t="s">
        <v>1085</v>
      </c>
      <c r="V514" s="67" t="s">
        <v>198</v>
      </c>
      <c r="W514" s="353"/>
      <c r="X514" s="457"/>
      <c r="Y514" s="457"/>
      <c r="Z514" s="457"/>
    </row>
    <row r="515" spans="1:26" s="67" customFormat="1" ht="14.25" customHeight="1">
      <c r="A515" s="353" t="s">
        <v>37</v>
      </c>
      <c r="B515" s="353" t="s">
        <v>194</v>
      </c>
      <c r="C515" s="353" t="s">
        <v>1007</v>
      </c>
      <c r="D515" s="402" t="s">
        <v>2799</v>
      </c>
      <c r="E515" s="67" t="s">
        <v>1484</v>
      </c>
      <c r="F515" s="67" t="s">
        <v>1843</v>
      </c>
      <c r="G515" s="67" t="s">
        <v>1844</v>
      </c>
      <c r="H515" s="353"/>
      <c r="I515" s="353" t="s">
        <v>2104</v>
      </c>
      <c r="J515" s="67" t="s">
        <v>43</v>
      </c>
      <c r="K515" s="67" t="s">
        <v>43</v>
      </c>
      <c r="L515" s="67" t="s">
        <v>767</v>
      </c>
      <c r="M515" s="67" t="s">
        <v>44</v>
      </c>
      <c r="N515" s="353">
        <v>24.377054000000001</v>
      </c>
      <c r="O515" s="353">
        <v>97.343406999999999</v>
      </c>
      <c r="P515" s="67" t="s">
        <v>768</v>
      </c>
      <c r="Q515" s="67" t="s">
        <v>757</v>
      </c>
      <c r="R515" s="356"/>
      <c r="S515" s="462"/>
      <c r="T515" s="91"/>
      <c r="U515" s="87" t="s">
        <v>1008</v>
      </c>
      <c r="V515" s="67" t="s">
        <v>1007</v>
      </c>
      <c r="X515" s="457"/>
      <c r="Y515" s="457"/>
      <c r="Z515" s="457"/>
    </row>
    <row r="516" spans="1:26" s="67" customFormat="1" ht="14.25" customHeight="1">
      <c r="A516" s="353" t="s">
        <v>37</v>
      </c>
      <c r="B516" s="353" t="s">
        <v>194</v>
      </c>
      <c r="C516" s="353" t="s">
        <v>278</v>
      </c>
      <c r="D516" s="402" t="s">
        <v>1635</v>
      </c>
      <c r="H516" s="353"/>
      <c r="J516" s="67" t="s">
        <v>1443</v>
      </c>
      <c r="K516" s="67" t="s">
        <v>43</v>
      </c>
      <c r="L516" s="67" t="s">
        <v>1094</v>
      </c>
      <c r="M516" s="67" t="s">
        <v>773</v>
      </c>
      <c r="N516" s="353"/>
      <c r="O516" s="353"/>
      <c r="P516" s="67" t="s">
        <v>756</v>
      </c>
      <c r="Q516" s="67" t="s">
        <v>757</v>
      </c>
      <c r="R516" s="356"/>
      <c r="S516" s="357"/>
      <c r="T516" s="91">
        <v>42849</v>
      </c>
      <c r="U516" s="87"/>
      <c r="X516" s="457"/>
      <c r="Y516" s="457"/>
      <c r="Z516" s="457"/>
    </row>
    <row r="517" spans="1:26" s="67" customFormat="1" ht="14.25" customHeight="1">
      <c r="A517" s="353" t="s">
        <v>37</v>
      </c>
      <c r="B517" s="353" t="s">
        <v>194</v>
      </c>
      <c r="C517" s="353" t="s">
        <v>270</v>
      </c>
      <c r="D517" s="402" t="s">
        <v>2799</v>
      </c>
      <c r="E517" s="67" t="s">
        <v>1459</v>
      </c>
      <c r="F517" s="67" t="s">
        <v>1755</v>
      </c>
      <c r="G517" s="67" t="s">
        <v>1757</v>
      </c>
      <c r="H517" s="353" t="s">
        <v>41</v>
      </c>
      <c r="I517" s="353" t="s">
        <v>130</v>
      </c>
      <c r="J517" s="67" t="s">
        <v>43</v>
      </c>
      <c r="K517" s="353" t="s">
        <v>43</v>
      </c>
      <c r="L517" s="353" t="s">
        <v>43</v>
      </c>
      <c r="M517" s="67" t="s">
        <v>44</v>
      </c>
      <c r="N517" s="353">
        <v>24.200972</v>
      </c>
      <c r="O517" s="353">
        <v>97.718582999999995</v>
      </c>
      <c r="P517" s="353" t="s">
        <v>756</v>
      </c>
      <c r="Q517" s="67" t="s">
        <v>775</v>
      </c>
      <c r="R517" s="356"/>
      <c r="S517" s="462"/>
      <c r="T517" s="91"/>
      <c r="U517" s="87"/>
      <c r="V517" s="67" t="s">
        <v>270</v>
      </c>
      <c r="W517" s="353"/>
      <c r="X517" s="457"/>
      <c r="Y517" s="457"/>
      <c r="Z517" s="457"/>
    </row>
    <row r="518" spans="1:26" s="67" customFormat="1" ht="14.25" customHeight="1">
      <c r="A518" s="353" t="s">
        <v>37</v>
      </c>
      <c r="B518" s="353" t="s">
        <v>194</v>
      </c>
      <c r="C518" s="353" t="s">
        <v>271</v>
      </c>
      <c r="D518" s="402" t="s">
        <v>2799</v>
      </c>
      <c r="E518" s="353" t="s">
        <v>1460</v>
      </c>
      <c r="F518" s="353" t="s">
        <v>1755</v>
      </c>
      <c r="G518" s="353" t="s">
        <v>1757</v>
      </c>
      <c r="H518" s="353" t="s">
        <v>41</v>
      </c>
      <c r="I518" s="353" t="s">
        <v>42</v>
      </c>
      <c r="J518" s="353" t="s">
        <v>43</v>
      </c>
      <c r="K518" s="353" t="s">
        <v>43</v>
      </c>
      <c r="L518" s="353" t="s">
        <v>43</v>
      </c>
      <c r="M518" s="353" t="s">
        <v>44</v>
      </c>
      <c r="N518" s="353">
        <v>24.205417000000001</v>
      </c>
      <c r="O518" s="353">
        <v>97.724566999999993</v>
      </c>
      <c r="P518" s="353" t="s">
        <v>756</v>
      </c>
      <c r="Q518" s="353" t="s">
        <v>775</v>
      </c>
      <c r="R518" s="356"/>
      <c r="S518" s="462"/>
      <c r="T518" s="376"/>
      <c r="U518" s="358"/>
      <c r="V518" s="353" t="s">
        <v>271</v>
      </c>
      <c r="W518" s="353"/>
      <c r="X518" s="457"/>
      <c r="Y518" s="457"/>
      <c r="Z518" s="457"/>
    </row>
    <row r="519" spans="1:26" s="67" customFormat="1" ht="14.25" customHeight="1">
      <c r="A519" s="353" t="s">
        <v>37</v>
      </c>
      <c r="B519" s="353" t="s">
        <v>194</v>
      </c>
      <c r="C519" s="353" t="s">
        <v>1102</v>
      </c>
      <c r="D519" s="402" t="s">
        <v>1635</v>
      </c>
      <c r="J519" s="67" t="s">
        <v>43</v>
      </c>
      <c r="K519" s="67" t="s">
        <v>43</v>
      </c>
      <c r="L519" s="67" t="s">
        <v>1082</v>
      </c>
      <c r="M519" s="67" t="s">
        <v>44</v>
      </c>
      <c r="N519" s="353"/>
      <c r="O519" s="353"/>
      <c r="P519" s="67" t="s">
        <v>756</v>
      </c>
      <c r="R519" s="85"/>
      <c r="S519" s="357"/>
      <c r="T519" s="91"/>
      <c r="U519" s="87"/>
      <c r="V519" s="67" t="s">
        <v>1103</v>
      </c>
      <c r="X519" s="457"/>
      <c r="Y519" s="457"/>
      <c r="Z519" s="457"/>
    </row>
    <row r="520" spans="1:26" s="67" customFormat="1" ht="14.25" customHeight="1">
      <c r="A520" s="353" t="s">
        <v>37</v>
      </c>
      <c r="B520" s="353" t="s">
        <v>194</v>
      </c>
      <c r="C520" s="353" t="s">
        <v>1104</v>
      </c>
      <c r="D520" s="402" t="s">
        <v>1635</v>
      </c>
      <c r="H520" s="353"/>
      <c r="I520" s="353"/>
      <c r="J520" s="67" t="s">
        <v>43</v>
      </c>
      <c r="K520" s="67" t="s">
        <v>43</v>
      </c>
      <c r="L520" s="67" t="s">
        <v>1082</v>
      </c>
      <c r="M520" s="67" t="s">
        <v>44</v>
      </c>
      <c r="N520" s="353"/>
      <c r="O520" s="353"/>
      <c r="P520" s="67" t="s">
        <v>756</v>
      </c>
      <c r="R520" s="356"/>
      <c r="S520" s="357"/>
      <c r="T520" s="91"/>
      <c r="U520" s="87"/>
      <c r="V520" s="67" t="s">
        <v>1105</v>
      </c>
      <c r="W520" s="353"/>
      <c r="X520" s="457"/>
      <c r="Y520" s="457"/>
      <c r="Z520" s="457"/>
    </row>
    <row r="521" spans="1:26" s="67" customFormat="1" ht="14.25" customHeight="1">
      <c r="A521" s="353" t="s">
        <v>37</v>
      </c>
      <c r="B521" s="353" t="s">
        <v>194</v>
      </c>
      <c r="C521" s="353" t="s">
        <v>1106</v>
      </c>
      <c r="D521" s="402" t="s">
        <v>1635</v>
      </c>
      <c r="H521" s="353"/>
      <c r="J521" s="67" t="s">
        <v>43</v>
      </c>
      <c r="K521" s="67" t="s">
        <v>43</v>
      </c>
      <c r="L521" s="67" t="s">
        <v>1082</v>
      </c>
      <c r="M521" s="67" t="s">
        <v>44</v>
      </c>
      <c r="N521" s="353"/>
      <c r="O521" s="353"/>
      <c r="P521" s="353" t="s">
        <v>756</v>
      </c>
      <c r="R521" s="356"/>
      <c r="S521" s="357"/>
      <c r="T521" s="91"/>
      <c r="U521" s="87"/>
      <c r="V521" s="67" t="s">
        <v>1107</v>
      </c>
      <c r="W521" s="353"/>
      <c r="X521" s="457"/>
      <c r="Y521" s="457"/>
      <c r="Z521" s="457"/>
    </row>
    <row r="522" spans="1:26" s="67" customFormat="1" ht="14.25" customHeight="1">
      <c r="A522" s="353" t="s">
        <v>37</v>
      </c>
      <c r="B522" s="353" t="s">
        <v>194</v>
      </c>
      <c r="C522" s="353" t="s">
        <v>272</v>
      </c>
      <c r="D522" s="402" t="s">
        <v>2799</v>
      </c>
      <c r="E522" s="67" t="s">
        <v>1458</v>
      </c>
      <c r="F522" s="67" t="s">
        <v>1755</v>
      </c>
      <c r="G522" s="67" t="s">
        <v>1756</v>
      </c>
      <c r="H522" s="353" t="s">
        <v>41</v>
      </c>
      <c r="I522" s="353" t="s">
        <v>130</v>
      </c>
      <c r="J522" s="67" t="s">
        <v>43</v>
      </c>
      <c r="K522" s="67" t="s">
        <v>43</v>
      </c>
      <c r="L522" s="353" t="s">
        <v>43</v>
      </c>
      <c r="M522" s="67" t="s">
        <v>44</v>
      </c>
      <c r="N522" s="353">
        <v>24.200433</v>
      </c>
      <c r="O522" s="353">
        <v>97.717133000000004</v>
      </c>
      <c r="P522" s="353" t="s">
        <v>756</v>
      </c>
      <c r="Q522" s="67" t="s">
        <v>775</v>
      </c>
      <c r="R522" s="356"/>
      <c r="S522" s="462"/>
      <c r="T522" s="91"/>
      <c r="U522" s="87"/>
      <c r="V522" s="67" t="s">
        <v>272</v>
      </c>
      <c r="W522" s="353"/>
      <c r="X522" s="457"/>
      <c r="Y522" s="457"/>
      <c r="Z522" s="457"/>
    </row>
    <row r="523" spans="1:26" s="67" customFormat="1" ht="14.25" customHeight="1">
      <c r="A523" s="353" t="s">
        <v>37</v>
      </c>
      <c r="B523" s="353" t="s">
        <v>194</v>
      </c>
      <c r="C523" s="353" t="s">
        <v>1108</v>
      </c>
      <c r="D523" s="402" t="s">
        <v>1635</v>
      </c>
      <c r="H523" s="353"/>
      <c r="I523" s="353"/>
      <c r="J523" s="67" t="s">
        <v>1094</v>
      </c>
      <c r="K523" s="67" t="s">
        <v>43</v>
      </c>
      <c r="L523" s="67" t="s">
        <v>755</v>
      </c>
      <c r="M523" s="67" t="s">
        <v>44</v>
      </c>
      <c r="N523" s="353"/>
      <c r="O523" s="353"/>
      <c r="P523" s="67" t="s">
        <v>756</v>
      </c>
      <c r="R523" s="356"/>
      <c r="S523" s="357"/>
      <c r="T523" s="91"/>
      <c r="U523" s="87"/>
      <c r="V523" s="67" t="s">
        <v>1108</v>
      </c>
      <c r="W523" s="353"/>
      <c r="X523" s="457"/>
      <c r="Y523" s="457"/>
      <c r="Z523" s="457"/>
    </row>
    <row r="524" spans="1:26" s="67" customFormat="1" ht="14.25" customHeight="1">
      <c r="A524" s="353" t="s">
        <v>37</v>
      </c>
      <c r="B524" s="353" t="s">
        <v>194</v>
      </c>
      <c r="C524" s="353" t="s">
        <v>277</v>
      </c>
      <c r="D524" s="402" t="s">
        <v>1635</v>
      </c>
      <c r="H524" s="353"/>
      <c r="I524" s="353"/>
      <c r="J524" s="67" t="s">
        <v>1443</v>
      </c>
      <c r="K524" s="67" t="s">
        <v>43</v>
      </c>
      <c r="L524" s="67" t="s">
        <v>1094</v>
      </c>
      <c r="M524" s="67" t="s">
        <v>44</v>
      </c>
      <c r="N524" s="353"/>
      <c r="O524" s="353"/>
      <c r="P524" s="67" t="s">
        <v>756</v>
      </c>
      <c r="Q524" s="67" t="s">
        <v>757</v>
      </c>
      <c r="R524" s="356"/>
      <c r="S524" s="357"/>
      <c r="T524" s="91">
        <v>42849</v>
      </c>
      <c r="U524" s="87"/>
      <c r="W524" s="353"/>
      <c r="X524" s="457"/>
      <c r="Y524" s="457"/>
      <c r="Z524" s="457"/>
    </row>
    <row r="525" spans="1:26" s="67" customFormat="1" ht="14.25" customHeight="1">
      <c r="A525" s="353" t="s">
        <v>37</v>
      </c>
      <c r="B525" s="353" t="s">
        <v>194</v>
      </c>
      <c r="C525" s="353" t="s">
        <v>1013</v>
      </c>
      <c r="D525" s="402" t="s">
        <v>1636</v>
      </c>
      <c r="E525" s="67" t="s">
        <v>1488</v>
      </c>
      <c r="F525" s="67" t="s">
        <v>1682</v>
      </c>
      <c r="G525" s="67" t="s">
        <v>1682</v>
      </c>
      <c r="I525" s="67">
        <v>0</v>
      </c>
      <c r="J525" s="67" t="s">
        <v>43</v>
      </c>
      <c r="K525" s="67" t="s">
        <v>43</v>
      </c>
      <c r="L525" s="67" t="s">
        <v>755</v>
      </c>
      <c r="M525" s="67" t="s">
        <v>44</v>
      </c>
      <c r="N525" s="353">
        <v>24.441697000000001</v>
      </c>
      <c r="O525" s="353">
        <v>97.409474000000003</v>
      </c>
      <c r="P525" s="67" t="s">
        <v>768</v>
      </c>
      <c r="Q525" s="67" t="s">
        <v>757</v>
      </c>
      <c r="R525" s="356"/>
      <c r="S525" s="357"/>
      <c r="T525" s="91">
        <v>42983</v>
      </c>
      <c r="U525" s="87" t="s">
        <v>1014</v>
      </c>
      <c r="V525" s="67" t="s">
        <v>1013</v>
      </c>
      <c r="W525" s="348" t="s">
        <v>2137</v>
      </c>
      <c r="X525" s="457"/>
      <c r="Y525" s="457"/>
      <c r="Z525" s="457"/>
    </row>
    <row r="526" spans="1:26" s="67" customFormat="1" ht="14.25" customHeight="1">
      <c r="A526" s="353" t="s">
        <v>37</v>
      </c>
      <c r="B526" s="353" t="s">
        <v>194</v>
      </c>
      <c r="C526" s="353" t="s">
        <v>199</v>
      </c>
      <c r="D526" s="402" t="s">
        <v>2799</v>
      </c>
      <c r="E526" s="353" t="s">
        <v>1466</v>
      </c>
      <c r="F526" s="353" t="s">
        <v>1761</v>
      </c>
      <c r="G526" s="353" t="s">
        <v>1761</v>
      </c>
      <c r="H526" s="353" t="s">
        <v>41</v>
      </c>
      <c r="I526" s="353" t="s">
        <v>42</v>
      </c>
      <c r="J526" s="67" t="s">
        <v>43</v>
      </c>
      <c r="K526" s="67" t="s">
        <v>43</v>
      </c>
      <c r="L526" s="353" t="s">
        <v>43</v>
      </c>
      <c r="M526" s="67" t="s">
        <v>44</v>
      </c>
      <c r="N526" s="353">
        <v>24.245100000000001</v>
      </c>
      <c r="O526" s="353">
        <v>97.325019999999995</v>
      </c>
      <c r="P526" s="353" t="s">
        <v>756</v>
      </c>
      <c r="Q526" s="67" t="s">
        <v>775</v>
      </c>
      <c r="R526" s="356"/>
      <c r="S526" s="462"/>
      <c r="T526" s="91"/>
      <c r="U526" s="358"/>
      <c r="V526" s="353" t="s">
        <v>199</v>
      </c>
      <c r="W526" s="353"/>
      <c r="X526" s="457"/>
      <c r="Y526" s="457"/>
      <c r="Z526" s="457"/>
    </row>
    <row r="527" spans="1:26" s="67" customFormat="1" ht="14.25" customHeight="1">
      <c r="A527" s="353" t="s">
        <v>37</v>
      </c>
      <c r="B527" s="353" t="s">
        <v>194</v>
      </c>
      <c r="C527" s="353" t="s">
        <v>276</v>
      </c>
      <c r="D527" s="402" t="s">
        <v>1635</v>
      </c>
      <c r="H527" s="353"/>
      <c r="I527" s="353"/>
      <c r="J527" s="67" t="s">
        <v>1443</v>
      </c>
      <c r="K527" s="67" t="s">
        <v>43</v>
      </c>
      <c r="L527" s="67" t="s">
        <v>43</v>
      </c>
      <c r="M527" s="67" t="s">
        <v>44</v>
      </c>
      <c r="N527" s="353"/>
      <c r="O527" s="353"/>
      <c r="P527" s="353" t="s">
        <v>756</v>
      </c>
      <c r="Q527" s="67" t="s">
        <v>775</v>
      </c>
      <c r="R527" s="356"/>
      <c r="S527" s="357"/>
      <c r="T527" s="91"/>
      <c r="U527" s="87" t="s">
        <v>1085</v>
      </c>
      <c r="V527" s="67" t="s">
        <v>276</v>
      </c>
      <c r="W527" s="353"/>
      <c r="X527" s="457"/>
      <c r="Y527" s="457"/>
      <c r="Z527" s="457"/>
    </row>
    <row r="528" spans="1:26" s="67" customFormat="1" ht="14.25" customHeight="1">
      <c r="A528" s="353" t="s">
        <v>37</v>
      </c>
      <c r="B528" s="353" t="s">
        <v>194</v>
      </c>
      <c r="C528" s="353" t="s">
        <v>1011</v>
      </c>
      <c r="D528" s="402" t="s">
        <v>1636</v>
      </c>
      <c r="E528" s="67" t="s">
        <v>1487</v>
      </c>
      <c r="F528" s="67" t="s">
        <v>1681</v>
      </c>
      <c r="G528" s="67" t="s">
        <v>1681</v>
      </c>
      <c r="I528" s="67">
        <v>0</v>
      </c>
      <c r="J528" s="67" t="s">
        <v>43</v>
      </c>
      <c r="K528" s="67" t="s">
        <v>43</v>
      </c>
      <c r="L528" s="67" t="s">
        <v>755</v>
      </c>
      <c r="M528" s="67" t="s">
        <v>44</v>
      </c>
      <c r="N528" s="353">
        <v>24.410008999999999</v>
      </c>
      <c r="O528" s="353">
        <v>97.321659999999994</v>
      </c>
      <c r="P528" s="67" t="s">
        <v>768</v>
      </c>
      <c r="Q528" s="67" t="s">
        <v>757</v>
      </c>
      <c r="R528" s="356"/>
      <c r="S528" s="357"/>
      <c r="T528" s="91">
        <v>42983</v>
      </c>
      <c r="U528" s="87" t="s">
        <v>1012</v>
      </c>
      <c r="V528" s="67" t="s">
        <v>1011</v>
      </c>
      <c r="W528" s="353" t="s">
        <v>2138</v>
      </c>
      <c r="X528" s="457"/>
      <c r="Y528" s="457"/>
      <c r="Z528" s="457"/>
    </row>
    <row r="529" spans="1:26" s="67" customFormat="1" ht="14.25" customHeight="1">
      <c r="A529" s="353" t="s">
        <v>37</v>
      </c>
      <c r="B529" s="353" t="s">
        <v>194</v>
      </c>
      <c r="C529" s="353" t="s">
        <v>1023</v>
      </c>
      <c r="D529" s="402" t="s">
        <v>1636</v>
      </c>
      <c r="E529" s="353" t="s">
        <v>1498</v>
      </c>
      <c r="F529" s="353" t="s">
        <v>1689</v>
      </c>
      <c r="G529" s="353" t="s">
        <v>1690</v>
      </c>
      <c r="H529" s="353"/>
      <c r="I529" s="353">
        <v>0</v>
      </c>
      <c r="J529" s="67" t="s">
        <v>43</v>
      </c>
      <c r="K529" s="67" t="s">
        <v>43</v>
      </c>
      <c r="L529" s="353" t="s">
        <v>755</v>
      </c>
      <c r="M529" s="67" t="s">
        <v>44</v>
      </c>
      <c r="N529" s="67">
        <v>24.759551999999999</v>
      </c>
      <c r="O529" s="67">
        <v>97.276591999999994</v>
      </c>
      <c r="P529" s="353" t="s">
        <v>768</v>
      </c>
      <c r="Q529" s="67" t="s">
        <v>757</v>
      </c>
      <c r="R529" s="356"/>
      <c r="S529" s="357"/>
      <c r="T529" s="91">
        <v>42983</v>
      </c>
      <c r="U529" s="358" t="s">
        <v>1024</v>
      </c>
      <c r="V529" s="353" t="s">
        <v>1023</v>
      </c>
      <c r="W529" s="348" t="s">
        <v>2139</v>
      </c>
      <c r="X529" s="457"/>
      <c r="Y529" s="457"/>
      <c r="Z529" s="457"/>
    </row>
    <row r="530" spans="1:26" s="67" customFormat="1" ht="14.25" customHeight="1">
      <c r="A530" s="353" t="s">
        <v>37</v>
      </c>
      <c r="B530" s="353" t="s">
        <v>194</v>
      </c>
      <c r="C530" s="353" t="s">
        <v>200</v>
      </c>
      <c r="D530" s="402" t="s">
        <v>1636</v>
      </c>
      <c r="E530" s="353" t="s">
        <v>1472</v>
      </c>
      <c r="F530" s="353" t="s">
        <v>1650</v>
      </c>
      <c r="G530" s="353" t="s">
        <v>1651</v>
      </c>
      <c r="H530" s="353"/>
      <c r="I530" s="353">
        <v>0</v>
      </c>
      <c r="J530" s="67" t="s">
        <v>43</v>
      </c>
      <c r="K530" s="67" t="s">
        <v>43</v>
      </c>
      <c r="L530" s="353" t="s">
        <v>755</v>
      </c>
      <c r="M530" s="67" t="s">
        <v>44</v>
      </c>
      <c r="N530" s="353">
        <v>24.251860000000001</v>
      </c>
      <c r="O530" s="353">
        <v>97.346940000000004</v>
      </c>
      <c r="P530" s="353" t="s">
        <v>756</v>
      </c>
      <c r="Q530" s="67" t="s">
        <v>775</v>
      </c>
      <c r="R530" s="356"/>
      <c r="S530" s="357"/>
      <c r="T530" s="91"/>
      <c r="U530" s="358" t="s">
        <v>994</v>
      </c>
      <c r="V530" s="353" t="s">
        <v>200</v>
      </c>
      <c r="W530" s="348" t="s">
        <v>2140</v>
      </c>
      <c r="X530" s="457"/>
      <c r="Y530" s="457"/>
      <c r="Z530" s="457"/>
    </row>
    <row r="531" spans="1:26" s="353" customFormat="1" ht="14.25" customHeight="1">
      <c r="A531" s="353" t="s">
        <v>37</v>
      </c>
      <c r="B531" s="353" t="s">
        <v>194</v>
      </c>
      <c r="C531" s="353" t="s">
        <v>202</v>
      </c>
      <c r="D531" s="402" t="s">
        <v>2799</v>
      </c>
      <c r="E531" s="353" t="s">
        <v>1469</v>
      </c>
      <c r="F531" s="353" t="s">
        <v>1650</v>
      </c>
      <c r="G531" s="353" t="s">
        <v>1651</v>
      </c>
      <c r="H531" s="353" t="s">
        <v>41</v>
      </c>
      <c r="I531" s="353" t="s">
        <v>130</v>
      </c>
      <c r="J531" s="353" t="s">
        <v>43</v>
      </c>
      <c r="K531" s="353" t="s">
        <v>43</v>
      </c>
      <c r="L531" s="353" t="s">
        <v>43</v>
      </c>
      <c r="M531" s="353" t="s">
        <v>44</v>
      </c>
      <c r="N531" s="353">
        <v>24.250689999999999</v>
      </c>
      <c r="O531" s="353">
        <v>97.344359999999995</v>
      </c>
      <c r="P531" s="353" t="s">
        <v>756</v>
      </c>
      <c r="Q531" s="353" t="s">
        <v>775</v>
      </c>
      <c r="R531" s="356"/>
      <c r="S531" s="462"/>
      <c r="T531" s="376"/>
      <c r="U531" s="358"/>
      <c r="V531" s="353" t="s">
        <v>202</v>
      </c>
      <c r="X531" s="457"/>
      <c r="Y531" s="457"/>
      <c r="Z531" s="457"/>
    </row>
    <row r="532" spans="1:26" s="67" customFormat="1" ht="14.25" customHeight="1">
      <c r="A532" s="353" t="s">
        <v>37</v>
      </c>
      <c r="B532" s="353" t="s">
        <v>194</v>
      </c>
      <c r="C532" s="353" t="s">
        <v>1001</v>
      </c>
      <c r="D532" s="402" t="s">
        <v>1636</v>
      </c>
      <c r="E532" s="67" t="s">
        <v>1471</v>
      </c>
      <c r="F532" s="67" t="s">
        <v>1650</v>
      </c>
      <c r="G532" s="67" t="s">
        <v>1680</v>
      </c>
      <c r="H532" s="67" t="s">
        <v>41</v>
      </c>
      <c r="I532" s="353" t="s">
        <v>42</v>
      </c>
      <c r="J532" s="67" t="s">
        <v>43</v>
      </c>
      <c r="K532" s="67" t="s">
        <v>43</v>
      </c>
      <c r="L532" s="67" t="s">
        <v>755</v>
      </c>
      <c r="M532" s="67" t="s">
        <v>44</v>
      </c>
      <c r="N532" s="353">
        <v>24.25177</v>
      </c>
      <c r="O532" s="353">
        <v>97.346950000000007</v>
      </c>
      <c r="P532" s="67" t="s">
        <v>756</v>
      </c>
      <c r="R532" s="356"/>
      <c r="S532" s="357"/>
      <c r="T532" s="91"/>
      <c r="U532" s="87"/>
      <c r="V532" s="67" t="s">
        <v>1001</v>
      </c>
      <c r="W532" s="67" t="s">
        <v>2141</v>
      </c>
      <c r="X532" s="457"/>
      <c r="Y532" s="457"/>
      <c r="Z532" s="457"/>
    </row>
    <row r="533" spans="1:26" s="67" customFormat="1" ht="14.25" customHeight="1">
      <c r="A533" s="361" t="s">
        <v>37</v>
      </c>
      <c r="B533" s="360" t="s">
        <v>194</v>
      </c>
      <c r="C533" s="354" t="s">
        <v>1925</v>
      </c>
      <c r="D533" s="355"/>
      <c r="H533" s="353"/>
      <c r="I533" s="353"/>
      <c r="J533" s="67" t="s">
        <v>1443</v>
      </c>
      <c r="K533" s="67" t="s">
        <v>43</v>
      </c>
      <c r="L533" s="67" t="s">
        <v>43</v>
      </c>
      <c r="M533" s="67" t="s">
        <v>44</v>
      </c>
      <c r="N533" s="353"/>
      <c r="O533" s="353"/>
      <c r="P533" s="67" t="s">
        <v>756</v>
      </c>
      <c r="Q533" s="67" t="s">
        <v>1921</v>
      </c>
      <c r="R533" s="364"/>
      <c r="S533" s="357"/>
      <c r="T533" s="91">
        <v>43270</v>
      </c>
      <c r="U533" s="87"/>
      <c r="W533" s="353"/>
      <c r="X533" s="457"/>
      <c r="Y533" s="457"/>
      <c r="Z533" s="457"/>
    </row>
    <row r="534" spans="1:26" s="67" customFormat="1" ht="14.25" customHeight="1">
      <c r="A534" s="353" t="s">
        <v>37</v>
      </c>
      <c r="B534" s="353" t="s">
        <v>194</v>
      </c>
      <c r="C534" s="353" t="s">
        <v>999</v>
      </c>
      <c r="D534" s="402" t="s">
        <v>2799</v>
      </c>
      <c r="E534" s="67" t="s">
        <v>1470</v>
      </c>
      <c r="I534" s="353" t="s">
        <v>2104</v>
      </c>
      <c r="J534" s="67" t="s">
        <v>43</v>
      </c>
      <c r="K534" s="67" t="s">
        <v>43</v>
      </c>
      <c r="L534" s="67" t="s">
        <v>767</v>
      </c>
      <c r="M534" s="67" t="s">
        <v>44</v>
      </c>
      <c r="N534" s="67">
        <v>24.251232000000002</v>
      </c>
      <c r="O534" s="67">
        <v>97.348405</v>
      </c>
      <c r="P534" s="67" t="s">
        <v>768</v>
      </c>
      <c r="Q534" s="67" t="s">
        <v>757</v>
      </c>
      <c r="R534" s="356"/>
      <c r="S534" s="462"/>
      <c r="T534" s="91"/>
      <c r="U534" s="87" t="s">
        <v>991</v>
      </c>
      <c r="V534" s="67" t="s">
        <v>1000</v>
      </c>
      <c r="W534" s="353"/>
      <c r="X534" s="457"/>
      <c r="Y534" s="457"/>
      <c r="Z534" s="457"/>
    </row>
    <row r="535" spans="1:26" s="67" customFormat="1" ht="14.25" customHeight="1">
      <c r="A535" s="353" t="s">
        <v>37</v>
      </c>
      <c r="B535" s="353" t="s">
        <v>194</v>
      </c>
      <c r="C535" s="353" t="s">
        <v>1009</v>
      </c>
      <c r="D535" s="402" t="s">
        <v>2799</v>
      </c>
      <c r="E535" s="67" t="s">
        <v>1486</v>
      </c>
      <c r="F535" s="67" t="s">
        <v>1843</v>
      </c>
      <c r="G535" s="67" t="s">
        <v>1843</v>
      </c>
      <c r="I535" s="353" t="s">
        <v>2104</v>
      </c>
      <c r="J535" s="67" t="s">
        <v>43</v>
      </c>
      <c r="K535" s="67" t="s">
        <v>43</v>
      </c>
      <c r="L535" s="67" t="s">
        <v>767</v>
      </c>
      <c r="M535" s="67" t="s">
        <v>44</v>
      </c>
      <c r="N535" s="353">
        <v>24.404876999999999</v>
      </c>
      <c r="O535" s="353">
        <v>97.407787999999996</v>
      </c>
      <c r="P535" s="67" t="s">
        <v>768</v>
      </c>
      <c r="Q535" s="353" t="s">
        <v>757</v>
      </c>
      <c r="R535" s="356"/>
      <c r="S535" s="462"/>
      <c r="T535" s="376"/>
      <c r="U535" s="87" t="s">
        <v>1010</v>
      </c>
      <c r="V535" s="67" t="s">
        <v>1009</v>
      </c>
      <c r="W535" s="353"/>
      <c r="X535" s="457"/>
      <c r="Y535" s="457"/>
      <c r="Z535" s="457"/>
    </row>
    <row r="536" spans="1:26" s="67" customFormat="1" ht="14.25" customHeight="1">
      <c r="A536" s="353" t="s">
        <v>37</v>
      </c>
      <c r="B536" s="353" t="s">
        <v>194</v>
      </c>
      <c r="C536" s="353" t="s">
        <v>284</v>
      </c>
      <c r="D536" s="402" t="s">
        <v>2799</v>
      </c>
      <c r="E536" s="67" t="s">
        <v>1485</v>
      </c>
      <c r="F536" s="67" t="s">
        <v>1770</v>
      </c>
      <c r="G536" s="67" t="s">
        <v>1771</v>
      </c>
      <c r="H536" s="353" t="s">
        <v>41</v>
      </c>
      <c r="I536" s="353" t="s">
        <v>42</v>
      </c>
      <c r="J536" s="67" t="s">
        <v>43</v>
      </c>
      <c r="K536" s="353" t="s">
        <v>43</v>
      </c>
      <c r="L536" s="353" t="s">
        <v>43</v>
      </c>
      <c r="M536" s="67" t="s">
        <v>773</v>
      </c>
      <c r="N536" s="353">
        <v>24.378167000000001</v>
      </c>
      <c r="O536" s="353">
        <v>97.669366999999994</v>
      </c>
      <c r="P536" s="353" t="s">
        <v>756</v>
      </c>
      <c r="Q536" s="67" t="s">
        <v>757</v>
      </c>
      <c r="R536" s="356"/>
      <c r="S536" s="462"/>
      <c r="T536" s="91"/>
      <c r="U536" s="87"/>
      <c r="V536" s="67" t="s">
        <v>284</v>
      </c>
      <c r="W536" s="353"/>
      <c r="X536" s="457"/>
      <c r="Y536" s="457"/>
      <c r="Z536" s="457"/>
    </row>
    <row r="537" spans="1:26" s="67" customFormat="1" ht="14.25" customHeight="1">
      <c r="A537" s="353" t="s">
        <v>37</v>
      </c>
      <c r="B537" s="353" t="s">
        <v>194</v>
      </c>
      <c r="C537" s="353" t="s">
        <v>1002</v>
      </c>
      <c r="D537" s="402" t="s">
        <v>1636</v>
      </c>
      <c r="E537" s="67" t="s">
        <v>1474</v>
      </c>
      <c r="F537" s="67" t="s">
        <v>1650</v>
      </c>
      <c r="G537" s="67" t="s">
        <v>1651</v>
      </c>
      <c r="H537" s="67" t="s">
        <v>41</v>
      </c>
      <c r="I537" s="67" t="s">
        <v>231</v>
      </c>
      <c r="J537" s="67" t="s">
        <v>43</v>
      </c>
      <c r="K537" s="353" t="s">
        <v>43</v>
      </c>
      <c r="L537" s="353" t="s">
        <v>755</v>
      </c>
      <c r="M537" s="67" t="s">
        <v>44</v>
      </c>
      <c r="N537" s="67">
        <v>24.253769999999999</v>
      </c>
      <c r="O537" s="67">
        <v>97.347740000000002</v>
      </c>
      <c r="P537" s="353" t="s">
        <v>756</v>
      </c>
      <c r="Q537" s="353"/>
      <c r="R537" s="356"/>
      <c r="S537" s="86"/>
      <c r="T537" s="376"/>
      <c r="U537" s="87"/>
      <c r="V537" s="67" t="s">
        <v>1002</v>
      </c>
      <c r="W537" s="348" t="s">
        <v>2142</v>
      </c>
      <c r="X537" s="457"/>
      <c r="Y537" s="457"/>
      <c r="Z537" s="457"/>
    </row>
    <row r="538" spans="1:26" s="67" customFormat="1" ht="14.25" customHeight="1">
      <c r="A538" s="353" t="s">
        <v>37</v>
      </c>
      <c r="B538" s="353" t="s">
        <v>194</v>
      </c>
      <c r="C538" s="353" t="s">
        <v>273</v>
      </c>
      <c r="D538" s="402" t="s">
        <v>2799</v>
      </c>
      <c r="E538" s="67" t="s">
        <v>1461</v>
      </c>
      <c r="F538" s="67" t="s">
        <v>1755</v>
      </c>
      <c r="G538" s="67" t="s">
        <v>1756</v>
      </c>
      <c r="H538" s="67" t="s">
        <v>41</v>
      </c>
      <c r="I538" s="353" t="s">
        <v>130</v>
      </c>
      <c r="J538" s="67" t="s">
        <v>43</v>
      </c>
      <c r="K538" s="353" t="s">
        <v>43</v>
      </c>
      <c r="L538" s="353" t="s">
        <v>43</v>
      </c>
      <c r="M538" s="67" t="s">
        <v>44</v>
      </c>
      <c r="N538" s="67">
        <v>24.205417000000001</v>
      </c>
      <c r="O538" s="67">
        <v>97.724483000000006</v>
      </c>
      <c r="P538" s="67" t="s">
        <v>756</v>
      </c>
      <c r="Q538" s="67" t="s">
        <v>775</v>
      </c>
      <c r="R538" s="356"/>
      <c r="S538" s="462"/>
      <c r="T538" s="91"/>
      <c r="U538" s="87"/>
      <c r="V538" s="67" t="s">
        <v>273</v>
      </c>
      <c r="W538" s="353"/>
      <c r="X538" s="457"/>
      <c r="Y538" s="457"/>
      <c r="Z538" s="457"/>
    </row>
    <row r="539" spans="1:26" s="67" customFormat="1" ht="14.25" customHeight="1">
      <c r="A539" s="353" t="s">
        <v>37</v>
      </c>
      <c r="B539" s="353" t="s">
        <v>194</v>
      </c>
      <c r="C539" s="353" t="s">
        <v>285</v>
      </c>
      <c r="D539" s="402" t="s">
        <v>2799</v>
      </c>
      <c r="E539" s="67" t="s">
        <v>1481</v>
      </c>
      <c r="F539" s="67" t="s">
        <v>1767</v>
      </c>
      <c r="G539" s="67" t="s">
        <v>1768</v>
      </c>
      <c r="H539" s="353" t="s">
        <v>41</v>
      </c>
      <c r="I539" s="353" t="s">
        <v>42</v>
      </c>
      <c r="J539" s="67" t="s">
        <v>43</v>
      </c>
      <c r="K539" s="353" t="s">
        <v>43</v>
      </c>
      <c r="L539" s="353" t="s">
        <v>43</v>
      </c>
      <c r="M539" s="67" t="s">
        <v>773</v>
      </c>
      <c r="N539" s="353">
        <v>24.2744</v>
      </c>
      <c r="O539" s="353">
        <v>97.752667000000002</v>
      </c>
      <c r="P539" s="353" t="s">
        <v>756</v>
      </c>
      <c r="Q539" s="67" t="s">
        <v>757</v>
      </c>
      <c r="R539" s="356"/>
      <c r="S539" s="462"/>
      <c r="T539" s="91"/>
      <c r="U539" s="87"/>
      <c r="V539" s="67" t="s">
        <v>285</v>
      </c>
      <c r="W539" s="353"/>
      <c r="X539" s="457"/>
      <c r="Y539" s="457"/>
      <c r="Z539" s="457"/>
    </row>
    <row r="540" spans="1:26" s="67" customFormat="1" ht="14.25" customHeight="1">
      <c r="A540" s="353" t="s">
        <v>37</v>
      </c>
      <c r="B540" s="353" t="s">
        <v>194</v>
      </c>
      <c r="C540" s="353" t="s">
        <v>1123</v>
      </c>
      <c r="D540" s="402" t="s">
        <v>1635</v>
      </c>
      <c r="H540" s="353"/>
      <c r="J540" s="67" t="s">
        <v>43</v>
      </c>
      <c r="K540" s="353" t="s">
        <v>43</v>
      </c>
      <c r="L540" s="353" t="s">
        <v>1082</v>
      </c>
      <c r="M540" s="67" t="s">
        <v>773</v>
      </c>
      <c r="N540" s="353"/>
      <c r="O540" s="353"/>
      <c r="P540" s="67" t="s">
        <v>756</v>
      </c>
      <c r="R540" s="356"/>
      <c r="S540" s="357"/>
      <c r="T540" s="91"/>
      <c r="U540" s="87"/>
      <c r="V540" s="67" t="s">
        <v>1123</v>
      </c>
      <c r="X540" s="457"/>
      <c r="Y540" s="457"/>
      <c r="Z540" s="457"/>
    </row>
    <row r="541" spans="1:26" s="67" customFormat="1" ht="14.25" customHeight="1">
      <c r="A541" s="353" t="s">
        <v>37</v>
      </c>
      <c r="B541" s="353" t="s">
        <v>194</v>
      </c>
      <c r="C541" s="353" t="s">
        <v>1124</v>
      </c>
      <c r="D541" s="402" t="s">
        <v>1635</v>
      </c>
      <c r="J541" s="67" t="s">
        <v>43</v>
      </c>
      <c r="K541" s="353" t="s">
        <v>43</v>
      </c>
      <c r="L541" s="353" t="s">
        <v>1082</v>
      </c>
      <c r="M541" s="67" t="s">
        <v>773</v>
      </c>
      <c r="P541" s="353" t="s">
        <v>756</v>
      </c>
      <c r="R541" s="356"/>
      <c r="S541" s="357"/>
      <c r="T541" s="91"/>
      <c r="U541" s="358"/>
      <c r="V541" s="67" t="s">
        <v>1124</v>
      </c>
      <c r="W541" s="353"/>
      <c r="X541" s="457"/>
      <c r="Y541" s="457"/>
      <c r="Z541" s="457"/>
    </row>
    <row r="542" spans="1:26" s="67" customFormat="1" ht="14.25" customHeight="1">
      <c r="A542" s="353" t="s">
        <v>37</v>
      </c>
      <c r="B542" s="353" t="s">
        <v>194</v>
      </c>
      <c r="C542" s="353" t="s">
        <v>1125</v>
      </c>
      <c r="D542" s="402" t="s">
        <v>1635</v>
      </c>
      <c r="J542" s="67" t="s">
        <v>1094</v>
      </c>
      <c r="K542" s="353" t="s">
        <v>43</v>
      </c>
      <c r="L542" s="353" t="s">
        <v>755</v>
      </c>
      <c r="M542" s="67" t="s">
        <v>773</v>
      </c>
      <c r="N542" s="353"/>
      <c r="O542" s="353"/>
      <c r="P542" s="67" t="s">
        <v>756</v>
      </c>
      <c r="R542" s="356"/>
      <c r="S542" s="357"/>
      <c r="T542" s="91"/>
      <c r="U542" s="87"/>
      <c r="V542" s="67" t="s">
        <v>1125</v>
      </c>
      <c r="W542" s="353"/>
      <c r="X542" s="457"/>
      <c r="Y542" s="457"/>
      <c r="Z542" s="457"/>
    </row>
    <row r="543" spans="1:26" s="67" customFormat="1" ht="14.25" customHeight="1">
      <c r="A543" s="354" t="s">
        <v>37</v>
      </c>
      <c r="B543" s="354" t="s">
        <v>194</v>
      </c>
      <c r="C543" s="354" t="s">
        <v>1126</v>
      </c>
      <c r="D543" s="404" t="s">
        <v>1635</v>
      </c>
      <c r="E543" s="354"/>
      <c r="F543" s="354"/>
      <c r="G543" s="354"/>
      <c r="H543" s="354"/>
      <c r="I543" s="354"/>
      <c r="J543" s="354" t="s">
        <v>1094</v>
      </c>
      <c r="K543" s="354" t="s">
        <v>43</v>
      </c>
      <c r="L543" s="354" t="s">
        <v>755</v>
      </c>
      <c r="M543" s="354" t="s">
        <v>773</v>
      </c>
      <c r="N543" s="354"/>
      <c r="O543" s="354"/>
      <c r="P543" s="67" t="s">
        <v>756</v>
      </c>
      <c r="Q543" s="354"/>
      <c r="R543" s="360"/>
      <c r="S543" s="361"/>
      <c r="T543" s="377"/>
      <c r="U543" s="362"/>
      <c r="V543" s="354" t="s">
        <v>1126</v>
      </c>
      <c r="W543" s="353"/>
      <c r="X543" s="457"/>
      <c r="Y543" s="457"/>
      <c r="Z543" s="457"/>
    </row>
    <row r="544" spans="1:26" s="67" customFormat="1" ht="14.25" customHeight="1">
      <c r="A544" s="353" t="s">
        <v>37</v>
      </c>
      <c r="B544" s="353" t="s">
        <v>194</v>
      </c>
      <c r="C544" s="353" t="s">
        <v>1127</v>
      </c>
      <c r="D544" s="402" t="s">
        <v>1635</v>
      </c>
      <c r="I544" s="353"/>
      <c r="J544" s="67" t="s">
        <v>793</v>
      </c>
      <c r="K544" s="353" t="s">
        <v>793</v>
      </c>
      <c r="L544" s="353" t="s">
        <v>793</v>
      </c>
      <c r="M544" s="67" t="s">
        <v>773</v>
      </c>
      <c r="P544" s="353" t="s">
        <v>794</v>
      </c>
      <c r="R544" s="356"/>
      <c r="S544" s="357"/>
      <c r="T544" s="91"/>
      <c r="U544" s="87"/>
      <c r="V544" s="67" t="s">
        <v>1127</v>
      </c>
      <c r="W544" s="353"/>
      <c r="X544" s="457"/>
      <c r="Y544" s="457"/>
      <c r="Z544" s="457"/>
    </row>
    <row r="545" spans="1:26" s="67" customFormat="1" ht="14.25" customHeight="1">
      <c r="A545" s="353" t="s">
        <v>37</v>
      </c>
      <c r="B545" s="353" t="s">
        <v>194</v>
      </c>
      <c r="C545" s="353" t="s">
        <v>1128</v>
      </c>
      <c r="D545" s="402" t="s">
        <v>1635</v>
      </c>
      <c r="H545" s="353"/>
      <c r="J545" s="67" t="s">
        <v>1094</v>
      </c>
      <c r="K545" s="353" t="s">
        <v>43</v>
      </c>
      <c r="L545" s="353" t="s">
        <v>755</v>
      </c>
      <c r="M545" s="67" t="s">
        <v>773</v>
      </c>
      <c r="N545" s="353"/>
      <c r="O545" s="353"/>
      <c r="P545" s="353" t="s">
        <v>756</v>
      </c>
      <c r="R545" s="356"/>
      <c r="S545" s="357"/>
      <c r="T545" s="91"/>
      <c r="U545" s="87"/>
      <c r="V545" s="353" t="s">
        <v>1128</v>
      </c>
      <c r="X545" s="457"/>
      <c r="Y545" s="457"/>
      <c r="Z545" s="457"/>
    </row>
    <row r="546" spans="1:26" s="67" customFormat="1" ht="14.25" customHeight="1">
      <c r="A546" s="353" t="s">
        <v>37</v>
      </c>
      <c r="B546" s="353" t="s">
        <v>194</v>
      </c>
      <c r="C546" s="353" t="s">
        <v>1018</v>
      </c>
      <c r="D546" s="402" t="s">
        <v>1636</v>
      </c>
      <c r="E546" s="67" t="s">
        <v>1492</v>
      </c>
      <c r="F546" s="67" t="s">
        <v>1686</v>
      </c>
      <c r="G546" s="67" t="s">
        <v>1687</v>
      </c>
      <c r="I546" s="67">
        <v>0</v>
      </c>
      <c r="J546" s="67" t="s">
        <v>43</v>
      </c>
      <c r="K546" s="353" t="s">
        <v>43</v>
      </c>
      <c r="L546" s="353" t="s">
        <v>755</v>
      </c>
      <c r="M546" s="67" t="s">
        <v>44</v>
      </c>
      <c r="N546" s="67">
        <v>24.630859999999998</v>
      </c>
      <c r="O546" s="67">
        <v>97.429860000000005</v>
      </c>
      <c r="P546" s="67" t="s">
        <v>768</v>
      </c>
      <c r="Q546" s="67" t="s">
        <v>757</v>
      </c>
      <c r="R546" s="356"/>
      <c r="S546" s="86"/>
      <c r="T546" s="91">
        <v>42983</v>
      </c>
      <c r="U546" s="87" t="s">
        <v>1019</v>
      </c>
      <c r="V546" s="353" t="s">
        <v>1018</v>
      </c>
      <c r="W546" s="348" t="s">
        <v>2143</v>
      </c>
      <c r="X546" s="457"/>
      <c r="Y546" s="457"/>
      <c r="Z546" s="457"/>
    </row>
    <row r="547" spans="1:26" s="67" customFormat="1" ht="14.25" customHeight="1">
      <c r="A547" s="353" t="s">
        <v>37</v>
      </c>
      <c r="B547" s="354" t="s">
        <v>194</v>
      </c>
      <c r="C547" s="354" t="s">
        <v>275</v>
      </c>
      <c r="D547" s="402" t="s">
        <v>2799</v>
      </c>
      <c r="E547" s="67" t="s">
        <v>1463</v>
      </c>
      <c r="F547" s="67" t="s">
        <v>1755</v>
      </c>
      <c r="G547" s="67" t="s">
        <v>1758</v>
      </c>
      <c r="H547" s="353" t="s">
        <v>41</v>
      </c>
      <c r="I547" s="353" t="s">
        <v>130</v>
      </c>
      <c r="J547" s="67" t="s">
        <v>43</v>
      </c>
      <c r="K547" s="353" t="s">
        <v>43</v>
      </c>
      <c r="L547" s="353" t="s">
        <v>43</v>
      </c>
      <c r="M547" s="67" t="s">
        <v>44</v>
      </c>
      <c r="N547" s="353">
        <v>24.207332999999998</v>
      </c>
      <c r="O547" s="353">
        <v>97.710864000000001</v>
      </c>
      <c r="P547" s="353" t="s">
        <v>756</v>
      </c>
      <c r="Q547" s="67" t="s">
        <v>775</v>
      </c>
      <c r="R547" s="356"/>
      <c r="S547" s="462"/>
      <c r="T547" s="91"/>
      <c r="U547" s="358"/>
      <c r="V547" s="353" t="s">
        <v>275</v>
      </c>
      <c r="W547" s="353"/>
      <c r="X547" s="457"/>
      <c r="Y547" s="457"/>
      <c r="Z547" s="457"/>
    </row>
    <row r="548" spans="1:26" s="67" customFormat="1" ht="14.25" customHeight="1">
      <c r="A548" s="353" t="s">
        <v>37</v>
      </c>
      <c r="B548" s="354" t="s">
        <v>194</v>
      </c>
      <c r="C548" s="354" t="s">
        <v>1015</v>
      </c>
      <c r="D548" s="402" t="s">
        <v>1636</v>
      </c>
      <c r="E548" s="67" t="s">
        <v>1490</v>
      </c>
      <c r="F548" s="67" t="s">
        <v>1683</v>
      </c>
      <c r="G548" s="67" t="s">
        <v>1683</v>
      </c>
      <c r="I548" s="353">
        <v>0</v>
      </c>
      <c r="J548" s="67" t="s">
        <v>43</v>
      </c>
      <c r="K548" s="67" t="s">
        <v>43</v>
      </c>
      <c r="L548" s="353" t="s">
        <v>755</v>
      </c>
      <c r="M548" s="67" t="s">
        <v>44</v>
      </c>
      <c r="N548" s="353">
        <v>24.492493</v>
      </c>
      <c r="O548" s="353">
        <v>97.416826999999998</v>
      </c>
      <c r="P548" s="353" t="s">
        <v>768</v>
      </c>
      <c r="Q548" s="67" t="s">
        <v>757</v>
      </c>
      <c r="R548" s="356"/>
      <c r="S548" s="357"/>
      <c r="T548" s="91">
        <v>42983</v>
      </c>
      <c r="U548" s="87" t="s">
        <v>1012</v>
      </c>
      <c r="V548" s="353" t="s">
        <v>1015</v>
      </c>
      <c r="W548" s="348" t="s">
        <v>2144</v>
      </c>
      <c r="X548" s="457"/>
      <c r="Y548" s="457"/>
      <c r="Z548" s="457"/>
    </row>
    <row r="549" spans="1:26" s="67" customFormat="1" ht="14.25" customHeight="1">
      <c r="A549" s="353" t="s">
        <v>37</v>
      </c>
      <c r="B549" s="353" t="s">
        <v>148</v>
      </c>
      <c r="C549" s="353" t="s">
        <v>1083</v>
      </c>
      <c r="D549" s="402" t="s">
        <v>1636</v>
      </c>
      <c r="E549" s="353" t="s">
        <v>1949</v>
      </c>
      <c r="F549" s="67" t="s">
        <v>1696</v>
      </c>
      <c r="G549" s="67" t="s">
        <v>1711</v>
      </c>
      <c r="H549" s="353"/>
      <c r="I549" s="353" t="s">
        <v>2104</v>
      </c>
      <c r="J549" s="353" t="s">
        <v>43</v>
      </c>
      <c r="K549" s="353" t="s">
        <v>43</v>
      </c>
      <c r="L549" s="353" t="s">
        <v>755</v>
      </c>
      <c r="M549" s="353" t="s">
        <v>44</v>
      </c>
      <c r="N549" s="353"/>
      <c r="O549" s="353"/>
      <c r="P549" s="353" t="s">
        <v>756</v>
      </c>
      <c r="Q549" s="353" t="s">
        <v>921</v>
      </c>
      <c r="R549" s="356"/>
      <c r="S549" s="357"/>
      <c r="T549" s="376"/>
      <c r="U549" s="358" t="s">
        <v>1084</v>
      </c>
      <c r="V549" s="353"/>
      <c r="W549" s="67" t="s">
        <v>2145</v>
      </c>
      <c r="X549" s="457"/>
      <c r="Y549" s="457"/>
      <c r="Z549" s="457"/>
    </row>
    <row r="550" spans="1:26" s="67" customFormat="1" ht="14.25" customHeight="1">
      <c r="A550" s="357" t="s">
        <v>37</v>
      </c>
      <c r="B550" s="360" t="s">
        <v>148</v>
      </c>
      <c r="C550" s="361" t="s">
        <v>2006</v>
      </c>
      <c r="D550" s="355"/>
      <c r="E550" s="353"/>
      <c r="F550" s="353"/>
      <c r="G550" s="353"/>
      <c r="H550" s="353"/>
      <c r="I550" s="353"/>
      <c r="J550" s="353" t="s">
        <v>1443</v>
      </c>
      <c r="K550" s="354" t="s">
        <v>43</v>
      </c>
      <c r="L550" s="354" t="s">
        <v>771</v>
      </c>
      <c r="M550" s="353" t="s">
        <v>773</v>
      </c>
      <c r="N550" s="353"/>
      <c r="O550" s="353"/>
      <c r="P550" s="353" t="s">
        <v>756</v>
      </c>
      <c r="Q550" s="353"/>
      <c r="R550" s="364"/>
      <c r="S550" s="357"/>
      <c r="T550" s="376">
        <v>43298</v>
      </c>
      <c r="U550" s="358"/>
      <c r="V550" s="353"/>
      <c r="X550" s="457"/>
      <c r="Y550" s="457"/>
      <c r="Z550" s="457"/>
    </row>
    <row r="551" spans="1:26" s="67" customFormat="1" ht="14.25" customHeight="1">
      <c r="A551" s="353" t="s">
        <v>37</v>
      </c>
      <c r="B551" s="353" t="s">
        <v>148</v>
      </c>
      <c r="C551" s="353" t="s">
        <v>149</v>
      </c>
      <c r="D551" s="402" t="s">
        <v>2799</v>
      </c>
      <c r="E551" s="67" t="s">
        <v>1536</v>
      </c>
      <c r="F551" s="67" t="s">
        <v>1696</v>
      </c>
      <c r="G551" s="67" t="s">
        <v>1798</v>
      </c>
      <c r="H551" s="67" t="s">
        <v>41</v>
      </c>
      <c r="I551" s="353" t="s">
        <v>130</v>
      </c>
      <c r="J551" s="67" t="s">
        <v>43</v>
      </c>
      <c r="K551" s="353" t="s">
        <v>43</v>
      </c>
      <c r="L551" s="353" t="s">
        <v>43</v>
      </c>
      <c r="M551" s="67" t="s">
        <v>44</v>
      </c>
      <c r="N551" s="353">
        <v>25.395974089999999</v>
      </c>
      <c r="O551" s="353">
        <v>97.382997579999994</v>
      </c>
      <c r="P551" s="353" t="s">
        <v>756</v>
      </c>
      <c r="Q551" s="67" t="s">
        <v>775</v>
      </c>
      <c r="R551" s="356"/>
      <c r="S551" s="462"/>
      <c r="T551" s="91">
        <v>42983</v>
      </c>
      <c r="U551" s="358" t="s">
        <v>1046</v>
      </c>
      <c r="V551" s="353" t="s">
        <v>1047</v>
      </c>
      <c r="W551" s="353"/>
      <c r="X551" s="457"/>
      <c r="Y551" s="457"/>
      <c r="Z551" s="457"/>
    </row>
    <row r="552" spans="1:26" s="67" customFormat="1" ht="14.25" customHeight="1">
      <c r="A552" s="353" t="s">
        <v>37</v>
      </c>
      <c r="B552" s="353" t="s">
        <v>148</v>
      </c>
      <c r="C552" s="353" t="s">
        <v>1049</v>
      </c>
      <c r="D552" s="402" t="s">
        <v>1635</v>
      </c>
      <c r="E552" s="353" t="s">
        <v>1538</v>
      </c>
      <c r="H552" s="353"/>
      <c r="I552" s="353"/>
      <c r="J552" s="353" t="s">
        <v>43</v>
      </c>
      <c r="K552" s="353" t="s">
        <v>43</v>
      </c>
      <c r="L552" s="353" t="s">
        <v>755</v>
      </c>
      <c r="M552" s="353" t="s">
        <v>44</v>
      </c>
      <c r="N552" s="353">
        <v>25.400270190000001</v>
      </c>
      <c r="O552" s="353">
        <v>97.384729629999995</v>
      </c>
      <c r="P552" s="67" t="s">
        <v>756</v>
      </c>
      <c r="Q552" s="353" t="s">
        <v>775</v>
      </c>
      <c r="R552" s="356"/>
      <c r="S552" s="357"/>
      <c r="T552" s="376"/>
      <c r="U552" s="358" t="s">
        <v>1046</v>
      </c>
      <c r="V552" s="67" t="s">
        <v>1049</v>
      </c>
      <c r="W552" s="353"/>
      <c r="X552" s="457"/>
      <c r="Y552" s="457"/>
      <c r="Z552" s="457"/>
    </row>
    <row r="553" spans="1:26" s="67" customFormat="1" ht="14.25" customHeight="1">
      <c r="A553" s="353" t="s">
        <v>37</v>
      </c>
      <c r="B553" s="353" t="s">
        <v>148</v>
      </c>
      <c r="C553" s="353" t="s">
        <v>1047</v>
      </c>
      <c r="D553" s="402" t="s">
        <v>1635</v>
      </c>
      <c r="E553" s="353"/>
      <c r="F553" s="353"/>
      <c r="G553" s="353"/>
      <c r="H553" s="353"/>
      <c r="I553" s="353"/>
      <c r="J553" s="353" t="s">
        <v>43</v>
      </c>
      <c r="K553" s="353" t="s">
        <v>43</v>
      </c>
      <c r="L553" s="353" t="s">
        <v>755</v>
      </c>
      <c r="M553" s="353" t="s">
        <v>44</v>
      </c>
      <c r="N553" s="353">
        <v>25.395974089999999</v>
      </c>
      <c r="O553" s="353">
        <v>97.382997579999994</v>
      </c>
      <c r="P553" s="353" t="s">
        <v>756</v>
      </c>
      <c r="Q553" s="353" t="s">
        <v>775</v>
      </c>
      <c r="R553" s="356"/>
      <c r="S553" s="357"/>
      <c r="T553" s="376"/>
      <c r="U553" s="358"/>
      <c r="V553" s="353" t="s">
        <v>1047</v>
      </c>
      <c r="X553" s="457"/>
      <c r="Y553" s="457"/>
      <c r="Z553" s="457"/>
    </row>
    <row r="554" spans="1:26" s="67" customFormat="1" ht="14.25" customHeight="1">
      <c r="A554" s="353" t="s">
        <v>37</v>
      </c>
      <c r="B554" s="353" t="s">
        <v>148</v>
      </c>
      <c r="C554" s="353" t="s">
        <v>1048</v>
      </c>
      <c r="D554" s="402" t="s">
        <v>1635</v>
      </c>
      <c r="E554" s="353" t="s">
        <v>1537</v>
      </c>
      <c r="F554" s="353"/>
      <c r="G554" s="353"/>
      <c r="H554" s="353"/>
      <c r="I554" s="353"/>
      <c r="J554" s="353" t="s">
        <v>43</v>
      </c>
      <c r="K554" s="353" t="s">
        <v>43</v>
      </c>
      <c r="L554" s="353" t="s">
        <v>755</v>
      </c>
      <c r="M554" s="353" t="s">
        <v>44</v>
      </c>
      <c r="N554" s="353">
        <v>25.396492500000001</v>
      </c>
      <c r="O554" s="353">
        <v>97.381325000000004</v>
      </c>
      <c r="P554" s="353" t="s">
        <v>756</v>
      </c>
      <c r="Q554" s="353" t="s">
        <v>775</v>
      </c>
      <c r="R554" s="356"/>
      <c r="S554" s="357"/>
      <c r="T554" s="376"/>
      <c r="U554" s="358" t="s">
        <v>1046</v>
      </c>
      <c r="V554" s="353" t="s">
        <v>1048</v>
      </c>
      <c r="W554" s="353"/>
      <c r="X554" s="457"/>
      <c r="Y554" s="457"/>
      <c r="Z554" s="457"/>
    </row>
    <row r="555" spans="1:26" s="67" customFormat="1" ht="14.25" customHeight="1">
      <c r="A555" s="353" t="s">
        <v>37</v>
      </c>
      <c r="B555" s="353" t="s">
        <v>148</v>
      </c>
      <c r="C555" s="353" t="s">
        <v>150</v>
      </c>
      <c r="D555" s="402" t="s">
        <v>2799</v>
      </c>
      <c r="E555" s="67" t="s">
        <v>1540</v>
      </c>
      <c r="F555" s="67" t="s">
        <v>1696</v>
      </c>
      <c r="G555" s="67" t="s">
        <v>1799</v>
      </c>
      <c r="H555" s="67" t="s">
        <v>41</v>
      </c>
      <c r="I555" s="353" t="s">
        <v>130</v>
      </c>
      <c r="J555" s="67" t="s">
        <v>43</v>
      </c>
      <c r="K555" s="353" t="s">
        <v>43</v>
      </c>
      <c r="L555" s="353" t="s">
        <v>43</v>
      </c>
      <c r="M555" s="67" t="s">
        <v>44</v>
      </c>
      <c r="N555" s="353">
        <v>25.403476999999999</v>
      </c>
      <c r="O555" s="353">
        <v>97.373361000000003</v>
      </c>
      <c r="P555" s="67" t="s">
        <v>756</v>
      </c>
      <c r="Q555" s="67" t="s">
        <v>775</v>
      </c>
      <c r="R555" s="356"/>
      <c r="S555" s="462"/>
      <c r="T555" s="91"/>
      <c r="U555" s="358"/>
      <c r="V555" s="67" t="s">
        <v>150</v>
      </c>
      <c r="W555" s="353"/>
      <c r="X555" s="457"/>
      <c r="Y555" s="457"/>
      <c r="Z555" s="457"/>
    </row>
    <row r="556" spans="1:26" s="67" customFormat="1" ht="14.25" customHeight="1">
      <c r="A556" s="353" t="s">
        <v>37</v>
      </c>
      <c r="B556" s="353" t="s">
        <v>148</v>
      </c>
      <c r="C556" s="353" t="s">
        <v>222</v>
      </c>
      <c r="D556" s="402" t="s">
        <v>2799</v>
      </c>
      <c r="E556" s="67" t="s">
        <v>1539</v>
      </c>
      <c r="F556" s="67" t="s">
        <v>1696</v>
      </c>
      <c r="G556" s="67" t="s">
        <v>1799</v>
      </c>
      <c r="H556" s="67" t="s">
        <v>41</v>
      </c>
      <c r="I556" s="67" t="s">
        <v>1308</v>
      </c>
      <c r="J556" s="67" t="s">
        <v>43</v>
      </c>
      <c r="K556" s="67" t="s">
        <v>43</v>
      </c>
      <c r="L556" s="353" t="s">
        <v>43</v>
      </c>
      <c r="M556" s="67" t="s">
        <v>44</v>
      </c>
      <c r="N556" s="353">
        <v>25.401061110000001</v>
      </c>
      <c r="O556" s="353">
        <v>97.379594999999995</v>
      </c>
      <c r="P556" s="67" t="s">
        <v>756</v>
      </c>
      <c r="Q556" s="67" t="s">
        <v>775</v>
      </c>
      <c r="R556" s="356"/>
      <c r="S556" s="462"/>
      <c r="T556" s="91"/>
      <c r="U556" s="358"/>
      <c r="V556" s="67" t="s">
        <v>222</v>
      </c>
      <c r="W556" s="353"/>
      <c r="X556" s="457"/>
      <c r="Y556" s="457"/>
      <c r="Z556" s="457"/>
    </row>
    <row r="557" spans="1:26" s="67" customFormat="1" ht="14.25" customHeight="1">
      <c r="A557" s="361" t="s">
        <v>37</v>
      </c>
      <c r="B557" s="360" t="s">
        <v>148</v>
      </c>
      <c r="C557" s="354" t="s">
        <v>2089</v>
      </c>
      <c r="D557" s="402" t="s">
        <v>2799</v>
      </c>
      <c r="E557" s="67" t="s">
        <v>1946</v>
      </c>
      <c r="H557" s="353"/>
      <c r="I557" s="67" t="s">
        <v>130</v>
      </c>
      <c r="J557" s="67" t="s">
        <v>43</v>
      </c>
      <c r="K557" s="67" t="s">
        <v>43</v>
      </c>
      <c r="L557" s="353" t="s">
        <v>43</v>
      </c>
      <c r="M557" s="67" t="s">
        <v>44</v>
      </c>
      <c r="N557" s="353"/>
      <c r="O557" s="353"/>
      <c r="P557" s="354" t="s">
        <v>756</v>
      </c>
      <c r="Q557" s="67" t="s">
        <v>1921</v>
      </c>
      <c r="R557" s="356"/>
      <c r="S557" s="462"/>
      <c r="T557" s="91">
        <v>43276</v>
      </c>
      <c r="U557" s="87" t="s">
        <v>1969</v>
      </c>
      <c r="W557" s="348" t="s">
        <v>2242</v>
      </c>
      <c r="X557" s="457"/>
      <c r="Y557" s="457"/>
      <c r="Z557" s="457"/>
    </row>
    <row r="558" spans="1:26" s="67" customFormat="1" ht="14.25" customHeight="1">
      <c r="A558" s="361" t="s">
        <v>37</v>
      </c>
      <c r="B558" s="360" t="s">
        <v>148</v>
      </c>
      <c r="C558" s="354" t="s">
        <v>1928</v>
      </c>
      <c r="D558" s="355"/>
      <c r="E558" s="353"/>
      <c r="F558" s="353"/>
      <c r="G558" s="353"/>
      <c r="H558" s="353"/>
      <c r="I558" s="353"/>
      <c r="J558" s="353" t="s">
        <v>1443</v>
      </c>
      <c r="K558" s="353" t="s">
        <v>43</v>
      </c>
      <c r="L558" s="353" t="s">
        <v>43</v>
      </c>
      <c r="M558" s="353" t="s">
        <v>44</v>
      </c>
      <c r="N558" s="353"/>
      <c r="O558" s="353"/>
      <c r="P558" s="353" t="s">
        <v>756</v>
      </c>
      <c r="Q558" s="353" t="s">
        <v>1921</v>
      </c>
      <c r="R558" s="364"/>
      <c r="S558" s="357"/>
      <c r="T558" s="376">
        <v>43270</v>
      </c>
      <c r="U558" s="358"/>
      <c r="V558" s="353"/>
      <c r="W558" s="353"/>
      <c r="X558" s="457"/>
      <c r="Y558" s="457"/>
      <c r="Z558" s="457"/>
    </row>
    <row r="559" spans="1:26" s="67" customFormat="1" ht="14.25" customHeight="1">
      <c r="A559" s="353" t="s">
        <v>37</v>
      </c>
      <c r="B559" s="353" t="s">
        <v>148</v>
      </c>
      <c r="C559" s="353" t="s">
        <v>1097</v>
      </c>
      <c r="D559" s="402" t="s">
        <v>2799</v>
      </c>
      <c r="E559" s="67" t="s">
        <v>1934</v>
      </c>
      <c r="F559" s="67" t="s">
        <v>1696</v>
      </c>
      <c r="G559" s="67" t="s">
        <v>1852</v>
      </c>
      <c r="I559" s="67" t="s">
        <v>1308</v>
      </c>
      <c r="J559" s="67" t="s">
        <v>43</v>
      </c>
      <c r="K559" s="67" t="s">
        <v>43</v>
      </c>
      <c r="L559" s="354" t="s">
        <v>43</v>
      </c>
      <c r="M559" s="67" t="s">
        <v>44</v>
      </c>
      <c r="N559" s="353"/>
      <c r="O559" s="353"/>
      <c r="P559" s="67" t="s">
        <v>756</v>
      </c>
      <c r="Q559" s="67" t="s">
        <v>921</v>
      </c>
      <c r="R559" s="356"/>
      <c r="S559" s="462"/>
      <c r="T559" s="91">
        <v>42983</v>
      </c>
      <c r="U559" s="87" t="s">
        <v>1098</v>
      </c>
      <c r="W559" s="348" t="s">
        <v>2243</v>
      </c>
      <c r="X559" s="457"/>
      <c r="Y559" s="457"/>
      <c r="Z559" s="457"/>
    </row>
    <row r="560" spans="1:26" s="67" customFormat="1" ht="14.25" customHeight="1">
      <c r="A560" s="353" t="s">
        <v>37</v>
      </c>
      <c r="B560" s="353" t="s">
        <v>148</v>
      </c>
      <c r="C560" s="353" t="s">
        <v>151</v>
      </c>
      <c r="D560" s="402" t="s">
        <v>2637</v>
      </c>
      <c r="E560" s="353" t="s">
        <v>1531</v>
      </c>
      <c r="F560" s="353" t="s">
        <v>1696</v>
      </c>
      <c r="G560" s="353" t="s">
        <v>1796</v>
      </c>
      <c r="H560" s="353" t="s">
        <v>41</v>
      </c>
      <c r="I560" s="353" t="s">
        <v>130</v>
      </c>
      <c r="J560" s="353" t="s">
        <v>43</v>
      </c>
      <c r="K560" s="353" t="s">
        <v>43</v>
      </c>
      <c r="L560" s="353" t="s">
        <v>755</v>
      </c>
      <c r="M560" s="353" t="s">
        <v>44</v>
      </c>
      <c r="N560" s="353">
        <v>25.36600361</v>
      </c>
      <c r="O560" s="353">
        <v>97.405202779999996</v>
      </c>
      <c r="P560" s="353" t="s">
        <v>756</v>
      </c>
      <c r="Q560" s="353" t="s">
        <v>775</v>
      </c>
      <c r="R560" s="356"/>
      <c r="S560" s="462"/>
      <c r="T560" s="376"/>
      <c r="U560" s="358"/>
      <c r="V560" s="353" t="s">
        <v>151</v>
      </c>
      <c r="W560" s="353"/>
      <c r="X560" s="457"/>
      <c r="Y560" s="457"/>
      <c r="Z560" s="457"/>
    </row>
    <row r="561" spans="1:26" s="67" customFormat="1" ht="14.25" customHeight="1">
      <c r="A561" s="361" t="s">
        <v>37</v>
      </c>
      <c r="B561" s="360" t="s">
        <v>148</v>
      </c>
      <c r="C561" s="361" t="s">
        <v>766</v>
      </c>
      <c r="D561" s="402" t="s">
        <v>2799</v>
      </c>
      <c r="E561" s="383" t="s">
        <v>1311</v>
      </c>
      <c r="H561" s="353"/>
      <c r="I561" s="67" t="s">
        <v>2104</v>
      </c>
      <c r="J561" s="67" t="s">
        <v>43</v>
      </c>
      <c r="K561" s="67" t="s">
        <v>43</v>
      </c>
      <c r="L561" s="67" t="s">
        <v>755</v>
      </c>
      <c r="M561" s="67" t="s">
        <v>44</v>
      </c>
      <c r="N561" s="353">
        <v>0</v>
      </c>
      <c r="O561" s="353">
        <v>0</v>
      </c>
      <c r="P561" s="67" t="s">
        <v>756</v>
      </c>
      <c r="Q561" s="67" t="s">
        <v>2092</v>
      </c>
      <c r="R561" s="356"/>
      <c r="S561" s="462"/>
      <c r="T561" s="91">
        <v>43360</v>
      </c>
      <c r="U561" s="87" t="s">
        <v>2094</v>
      </c>
      <c r="X561" s="457"/>
      <c r="Y561" s="457"/>
      <c r="Z561" s="457"/>
    </row>
    <row r="562" spans="1:26" s="67" customFormat="1" ht="14.25" customHeight="1">
      <c r="A562" s="357" t="s">
        <v>37</v>
      </c>
      <c r="B562" s="360" t="s">
        <v>148</v>
      </c>
      <c r="C562" s="361" t="s">
        <v>2010</v>
      </c>
      <c r="D562" s="355"/>
      <c r="H562" s="353"/>
      <c r="I562" s="353"/>
      <c r="J562" s="67" t="s">
        <v>1443</v>
      </c>
      <c r="K562" s="354" t="s">
        <v>43</v>
      </c>
      <c r="L562" s="354" t="s">
        <v>771</v>
      </c>
      <c r="M562" s="67" t="s">
        <v>773</v>
      </c>
      <c r="N562" s="353"/>
      <c r="O562" s="353"/>
      <c r="P562" s="67" t="s">
        <v>756</v>
      </c>
      <c r="R562" s="364"/>
      <c r="S562" s="357"/>
      <c r="T562" s="91">
        <v>43298</v>
      </c>
      <c r="U562" s="87"/>
      <c r="W562" s="353"/>
      <c r="X562" s="457"/>
      <c r="Y562" s="457"/>
      <c r="Z562" s="457"/>
    </row>
    <row r="563" spans="1:26" s="67" customFormat="1" ht="14.25" customHeight="1">
      <c r="A563" s="353" t="s">
        <v>37</v>
      </c>
      <c r="B563" s="353" t="s">
        <v>148</v>
      </c>
      <c r="C563" s="353" t="s">
        <v>152</v>
      </c>
      <c r="D563" s="402" t="s">
        <v>2799</v>
      </c>
      <c r="E563" s="67" t="s">
        <v>1530</v>
      </c>
      <c r="F563" s="67" t="s">
        <v>1696</v>
      </c>
      <c r="G563" s="67" t="s">
        <v>1790</v>
      </c>
      <c r="H563" s="67" t="s">
        <v>41</v>
      </c>
      <c r="I563" s="353" t="s">
        <v>2641</v>
      </c>
      <c r="J563" s="67" t="s">
        <v>43</v>
      </c>
      <c r="K563" s="67" t="s">
        <v>43</v>
      </c>
      <c r="L563" s="67" t="s">
        <v>43</v>
      </c>
      <c r="M563" s="67" t="s">
        <v>44</v>
      </c>
      <c r="N563" s="353">
        <v>25.362420757575801</v>
      </c>
      <c r="O563" s="353">
        <v>97.409035000000003</v>
      </c>
      <c r="P563" s="67" t="s">
        <v>756</v>
      </c>
      <c r="Q563" s="67" t="s">
        <v>775</v>
      </c>
      <c r="R563" s="356"/>
      <c r="S563" s="462"/>
      <c r="T563" s="91"/>
      <c r="U563" s="87"/>
      <c r="V563" s="67" t="s">
        <v>152</v>
      </c>
      <c r="W563" s="348" t="s">
        <v>2244</v>
      </c>
      <c r="X563" s="457"/>
      <c r="Y563" s="457"/>
      <c r="Z563" s="457"/>
    </row>
    <row r="564" spans="1:26" s="67" customFormat="1" ht="14.25" customHeight="1">
      <c r="A564" s="353" t="s">
        <v>37</v>
      </c>
      <c r="B564" s="353" t="s">
        <v>148</v>
      </c>
      <c r="C564" s="353" t="s">
        <v>153</v>
      </c>
      <c r="D564" s="402" t="s">
        <v>2799</v>
      </c>
      <c r="E564" s="67" t="s">
        <v>1522</v>
      </c>
      <c r="F564" s="67" t="s">
        <v>1696</v>
      </c>
      <c r="G564" s="67" t="s">
        <v>1790</v>
      </c>
      <c r="H564" s="67" t="s">
        <v>41</v>
      </c>
      <c r="I564" s="353" t="s">
        <v>2641</v>
      </c>
      <c r="J564" s="67" t="s">
        <v>43</v>
      </c>
      <c r="K564" s="67" t="s">
        <v>43</v>
      </c>
      <c r="L564" s="67" t="s">
        <v>43</v>
      </c>
      <c r="M564" s="67" t="s">
        <v>44</v>
      </c>
      <c r="N564" s="353">
        <v>25.3510167948718</v>
      </c>
      <c r="O564" s="353">
        <v>97.403402307692303</v>
      </c>
      <c r="P564" s="353" t="s">
        <v>756</v>
      </c>
      <c r="Q564" s="67" t="s">
        <v>775</v>
      </c>
      <c r="R564" s="356"/>
      <c r="S564" s="462"/>
      <c r="T564" s="91"/>
      <c r="U564" s="87"/>
      <c r="V564" s="67" t="s">
        <v>153</v>
      </c>
      <c r="W564" s="353"/>
      <c r="X564" s="457"/>
      <c r="Y564" s="457"/>
      <c r="Z564" s="457"/>
    </row>
    <row r="565" spans="1:26" s="67" customFormat="1" ht="14.25" customHeight="1">
      <c r="A565" s="353" t="s">
        <v>37</v>
      </c>
      <c r="B565" s="353" t="s">
        <v>148</v>
      </c>
      <c r="C565" s="353" t="s">
        <v>154</v>
      </c>
      <c r="D565" s="402" t="s">
        <v>2799</v>
      </c>
      <c r="E565" s="67" t="s">
        <v>1529</v>
      </c>
      <c r="F565" s="67" t="s">
        <v>1696</v>
      </c>
      <c r="G565" s="67" t="s">
        <v>1795</v>
      </c>
      <c r="H565" s="353" t="s">
        <v>41</v>
      </c>
      <c r="I565" s="67" t="s">
        <v>2641</v>
      </c>
      <c r="J565" s="67" t="s">
        <v>43</v>
      </c>
      <c r="K565" s="67" t="s">
        <v>43</v>
      </c>
      <c r="L565" s="67" t="s">
        <v>43</v>
      </c>
      <c r="M565" s="67" t="s">
        <v>44</v>
      </c>
      <c r="N565" s="353">
        <v>25.360463124999999</v>
      </c>
      <c r="O565" s="353">
        <v>97.4113064583333</v>
      </c>
      <c r="P565" s="17" t="s">
        <v>756</v>
      </c>
      <c r="Q565" s="353" t="s">
        <v>775</v>
      </c>
      <c r="R565" s="85"/>
      <c r="S565" s="462"/>
      <c r="T565" s="376"/>
      <c r="U565" s="87"/>
      <c r="V565" s="67" t="s">
        <v>154</v>
      </c>
      <c r="X565" s="457"/>
      <c r="Y565" s="457"/>
      <c r="Z565" s="457"/>
    </row>
    <row r="566" spans="1:26" s="67" customFormat="1" ht="14.25" customHeight="1">
      <c r="A566" s="353" t="s">
        <v>37</v>
      </c>
      <c r="B566" s="353" t="s">
        <v>148</v>
      </c>
      <c r="C566" s="353" t="s">
        <v>155</v>
      </c>
      <c r="D566" s="402" t="s">
        <v>2799</v>
      </c>
      <c r="E566" s="353" t="s">
        <v>1555</v>
      </c>
      <c r="F566" s="353" t="s">
        <v>1696</v>
      </c>
      <c r="G566" s="353" t="s">
        <v>1807</v>
      </c>
      <c r="H566" s="353" t="s">
        <v>41</v>
      </c>
      <c r="I566" s="353" t="s">
        <v>2641</v>
      </c>
      <c r="J566" s="67" t="s">
        <v>43</v>
      </c>
      <c r="K566" s="353" t="s">
        <v>43</v>
      </c>
      <c r="L566" s="353" t="s">
        <v>43</v>
      </c>
      <c r="M566" s="353" t="s">
        <v>44</v>
      </c>
      <c r="N566" s="353">
        <v>25.428910999999999</v>
      </c>
      <c r="O566" s="353">
        <v>97.418694000000002</v>
      </c>
      <c r="P566" s="67" t="s">
        <v>756</v>
      </c>
      <c r="Q566" s="353" t="s">
        <v>775</v>
      </c>
      <c r="R566" s="356"/>
      <c r="S566" s="462"/>
      <c r="T566" s="376"/>
      <c r="U566" s="358"/>
      <c r="V566" s="353" t="s">
        <v>155</v>
      </c>
      <c r="X566" s="457"/>
      <c r="Y566" s="457"/>
      <c r="Z566" s="457"/>
    </row>
    <row r="567" spans="1:26" s="67" customFormat="1" ht="14.25" customHeight="1">
      <c r="A567" s="353" t="s">
        <v>37</v>
      </c>
      <c r="B567" s="353" t="s">
        <v>148</v>
      </c>
      <c r="C567" s="353" t="s">
        <v>252</v>
      </c>
      <c r="D567" s="402" t="s">
        <v>2799</v>
      </c>
      <c r="E567" s="67" t="s">
        <v>1533</v>
      </c>
      <c r="F567" s="67" t="s">
        <v>1797</v>
      </c>
      <c r="G567" s="67" t="s">
        <v>1797</v>
      </c>
      <c r="H567" s="353" t="s">
        <v>41</v>
      </c>
      <c r="I567" s="353" t="s">
        <v>231</v>
      </c>
      <c r="J567" s="67" t="s">
        <v>43</v>
      </c>
      <c r="K567" s="67" t="s">
        <v>43</v>
      </c>
      <c r="L567" s="67" t="s">
        <v>43</v>
      </c>
      <c r="M567" s="67" t="s">
        <v>44</v>
      </c>
      <c r="N567" s="353">
        <v>25.374343974359</v>
      </c>
      <c r="O567" s="353">
        <v>97.2843958974359</v>
      </c>
      <c r="P567" s="353" t="s">
        <v>756</v>
      </c>
      <c r="Q567" s="67" t="s">
        <v>775</v>
      </c>
      <c r="R567" s="356"/>
      <c r="S567" s="462"/>
      <c r="T567" s="91"/>
      <c r="U567" s="87"/>
      <c r="V567" s="67" t="s">
        <v>252</v>
      </c>
      <c r="W567" s="353"/>
      <c r="X567" s="457"/>
      <c r="Y567" s="457"/>
      <c r="Z567" s="457"/>
    </row>
    <row r="568" spans="1:26" s="67" customFormat="1" ht="14.25" customHeight="1">
      <c r="A568" s="353" t="s">
        <v>37</v>
      </c>
      <c r="B568" s="353" t="s">
        <v>148</v>
      </c>
      <c r="C568" s="353" t="s">
        <v>253</v>
      </c>
      <c r="D568" s="402" t="s">
        <v>2799</v>
      </c>
      <c r="E568" s="353" t="s">
        <v>1532</v>
      </c>
      <c r="F568" s="353" t="s">
        <v>1797</v>
      </c>
      <c r="G568" s="353" t="s">
        <v>1797</v>
      </c>
      <c r="H568" s="353" t="s">
        <v>41</v>
      </c>
      <c r="I568" s="353" t="s">
        <v>231</v>
      </c>
      <c r="J568" s="353" t="s">
        <v>43</v>
      </c>
      <c r="K568" s="353" t="s">
        <v>43</v>
      </c>
      <c r="L568" s="353" t="s">
        <v>43</v>
      </c>
      <c r="M568" s="353" t="s">
        <v>44</v>
      </c>
      <c r="N568" s="353">
        <v>25.371049444444399</v>
      </c>
      <c r="O568" s="353">
        <v>97.290952037037002</v>
      </c>
      <c r="P568" s="353" t="s">
        <v>756</v>
      </c>
      <c r="Q568" s="353" t="s">
        <v>775</v>
      </c>
      <c r="R568" s="356"/>
      <c r="S568" s="462"/>
      <c r="T568" s="376"/>
      <c r="U568" s="358"/>
      <c r="V568" s="353" t="s">
        <v>253</v>
      </c>
      <c r="W568" s="353"/>
      <c r="X568" s="457"/>
      <c r="Y568" s="457"/>
      <c r="Z568" s="457"/>
    </row>
    <row r="569" spans="1:26" s="67" customFormat="1" ht="14.25" customHeight="1">
      <c r="A569" s="353" t="s">
        <v>37</v>
      </c>
      <c r="B569" s="353" t="s">
        <v>148</v>
      </c>
      <c r="C569" s="353" t="s">
        <v>1044</v>
      </c>
      <c r="D569" s="402" t="s">
        <v>1636</v>
      </c>
      <c r="E569" s="67" t="s">
        <v>1535</v>
      </c>
      <c r="F569" s="67" t="s">
        <v>1696</v>
      </c>
      <c r="G569" s="67" t="s">
        <v>1698</v>
      </c>
      <c r="H569" s="353" t="s">
        <v>41</v>
      </c>
      <c r="I569" s="67" t="s">
        <v>231</v>
      </c>
      <c r="J569" s="67" t="s">
        <v>43</v>
      </c>
      <c r="K569" s="67" t="s">
        <v>43</v>
      </c>
      <c r="L569" s="67" t="s">
        <v>755</v>
      </c>
      <c r="M569" s="67" t="s">
        <v>44</v>
      </c>
      <c r="N569" s="353">
        <v>25.387862999999999</v>
      </c>
      <c r="O569" s="353">
        <v>97.376671999999999</v>
      </c>
      <c r="P569" s="67" t="s">
        <v>756</v>
      </c>
      <c r="R569" s="356"/>
      <c r="S569" s="357"/>
      <c r="T569" s="91"/>
      <c r="U569" s="87"/>
      <c r="V569" s="67" t="s">
        <v>1044</v>
      </c>
      <c r="W569" s="348" t="s">
        <v>2146</v>
      </c>
      <c r="X569" s="457"/>
      <c r="Y569" s="457"/>
      <c r="Z569" s="457"/>
    </row>
    <row r="570" spans="1:26" s="67" customFormat="1" ht="14.25" customHeight="1">
      <c r="A570" s="353" t="s">
        <v>37</v>
      </c>
      <c r="B570" s="353" t="s">
        <v>148</v>
      </c>
      <c r="C570" s="353" t="s">
        <v>223</v>
      </c>
      <c r="D570" s="402" t="s">
        <v>2799</v>
      </c>
      <c r="E570" s="67" t="s">
        <v>1544</v>
      </c>
      <c r="F570" s="67" t="s">
        <v>1802</v>
      </c>
      <c r="G570" s="67" t="s">
        <v>1802</v>
      </c>
      <c r="H570" s="353" t="s">
        <v>41</v>
      </c>
      <c r="I570" s="353" t="s">
        <v>1308</v>
      </c>
      <c r="J570" s="67" t="s">
        <v>43</v>
      </c>
      <c r="K570" s="67" t="s">
        <v>43</v>
      </c>
      <c r="L570" s="67" t="s">
        <v>43</v>
      </c>
      <c r="M570" s="67" t="s">
        <v>44</v>
      </c>
      <c r="N570" s="353">
        <v>25.410569299999999</v>
      </c>
      <c r="O570" s="353">
        <v>97.359320179999997</v>
      </c>
      <c r="P570" s="353" t="s">
        <v>756</v>
      </c>
      <c r="Q570" s="67" t="s">
        <v>775</v>
      </c>
      <c r="R570" s="356"/>
      <c r="S570" s="462"/>
      <c r="T570" s="91"/>
      <c r="U570" s="87"/>
      <c r="V570" s="67" t="s">
        <v>223</v>
      </c>
      <c r="W570" s="353"/>
      <c r="X570" s="457"/>
      <c r="Y570" s="457"/>
      <c r="Z570" s="457"/>
    </row>
    <row r="571" spans="1:26" s="67" customFormat="1" ht="14.25" customHeight="1">
      <c r="A571" s="353" t="s">
        <v>37</v>
      </c>
      <c r="B571" s="353" t="s">
        <v>148</v>
      </c>
      <c r="C571" s="353" t="s">
        <v>156</v>
      </c>
      <c r="D571" s="402" t="s">
        <v>2799</v>
      </c>
      <c r="E571" s="67" t="s">
        <v>1551</v>
      </c>
      <c r="F571" s="67" t="s">
        <v>1696</v>
      </c>
      <c r="G571" s="67" t="s">
        <v>1806</v>
      </c>
      <c r="H571" s="353" t="s">
        <v>41</v>
      </c>
      <c r="I571" s="353" t="s">
        <v>2641</v>
      </c>
      <c r="J571" s="67" t="s">
        <v>43</v>
      </c>
      <c r="K571" s="67" t="s">
        <v>43</v>
      </c>
      <c r="L571" s="67" t="s">
        <v>43</v>
      </c>
      <c r="M571" s="67" t="s">
        <v>44</v>
      </c>
      <c r="N571" s="353">
        <v>25.422194000000001</v>
      </c>
      <c r="O571" s="353">
        <v>97.394547000000003</v>
      </c>
      <c r="P571" s="353" t="s">
        <v>756</v>
      </c>
      <c r="Q571" s="67" t="s">
        <v>775</v>
      </c>
      <c r="R571" s="356"/>
      <c r="S571" s="462"/>
      <c r="T571" s="91"/>
      <c r="U571" s="87"/>
      <c r="V571" s="67" t="s">
        <v>156</v>
      </c>
      <c r="W571" s="353"/>
      <c r="X571" s="457"/>
      <c r="Y571" s="457"/>
      <c r="Z571" s="457"/>
    </row>
    <row r="572" spans="1:26" s="67" customFormat="1" ht="14.25" customHeight="1">
      <c r="A572" s="353" t="s">
        <v>37</v>
      </c>
      <c r="B572" s="353" t="s">
        <v>148</v>
      </c>
      <c r="C572" s="353" t="s">
        <v>224</v>
      </c>
      <c r="D572" s="402" t="s">
        <v>2799</v>
      </c>
      <c r="E572" s="353" t="s">
        <v>1557</v>
      </c>
      <c r="F572" s="353" t="s">
        <v>1809</v>
      </c>
      <c r="G572" s="353" t="s">
        <v>1810</v>
      </c>
      <c r="H572" s="353" t="s">
        <v>41</v>
      </c>
      <c r="I572" s="353" t="s">
        <v>1308</v>
      </c>
      <c r="J572" s="353" t="s">
        <v>43</v>
      </c>
      <c r="K572" s="353" t="s">
        <v>43</v>
      </c>
      <c r="L572" s="353" t="s">
        <v>43</v>
      </c>
      <c r="M572" s="353" t="s">
        <v>44</v>
      </c>
      <c r="N572" s="353">
        <v>25.493819999999999</v>
      </c>
      <c r="O572" s="353">
        <v>97.4345</v>
      </c>
      <c r="P572" s="353" t="s">
        <v>756</v>
      </c>
      <c r="Q572" s="353" t="s">
        <v>775</v>
      </c>
      <c r="R572" s="356"/>
      <c r="S572" s="462"/>
      <c r="T572" s="376"/>
      <c r="U572" s="358"/>
      <c r="V572" s="353" t="s">
        <v>224</v>
      </c>
      <c r="X572" s="457"/>
      <c r="Y572" s="457"/>
      <c r="Z572" s="457"/>
    </row>
    <row r="573" spans="1:26" s="67" customFormat="1" ht="14.25" customHeight="1">
      <c r="A573" s="361" t="s">
        <v>37</v>
      </c>
      <c r="B573" s="360" t="s">
        <v>148</v>
      </c>
      <c r="C573" s="361" t="s">
        <v>2090</v>
      </c>
      <c r="D573" s="402" t="s">
        <v>2799</v>
      </c>
      <c r="E573" s="67" t="s">
        <v>2091</v>
      </c>
      <c r="H573" s="353" t="s">
        <v>41</v>
      </c>
      <c r="I573" s="353" t="s">
        <v>1308</v>
      </c>
      <c r="J573" s="67" t="s">
        <v>43</v>
      </c>
      <c r="K573" s="354" t="s">
        <v>43</v>
      </c>
      <c r="L573" s="354" t="s">
        <v>43</v>
      </c>
      <c r="M573" s="67" t="s">
        <v>44</v>
      </c>
      <c r="N573" s="353">
        <v>25.493819999999999</v>
      </c>
      <c r="O573" s="353">
        <v>97.4345</v>
      </c>
      <c r="P573" s="354" t="s">
        <v>756</v>
      </c>
      <c r="Q573" s="67" t="s">
        <v>2092</v>
      </c>
      <c r="R573" s="356"/>
      <c r="S573" s="462"/>
      <c r="T573" s="91">
        <v>43360</v>
      </c>
      <c r="U573" s="87" t="s">
        <v>2093</v>
      </c>
      <c r="W573" s="348" t="s">
        <v>2245</v>
      </c>
      <c r="X573" s="457"/>
      <c r="Y573" s="457"/>
      <c r="Z573" s="457"/>
    </row>
    <row r="574" spans="1:26" s="67" customFormat="1" ht="14.25" customHeight="1">
      <c r="A574" s="353" t="s">
        <v>37</v>
      </c>
      <c r="B574" s="353" t="s">
        <v>148</v>
      </c>
      <c r="C574" s="354" t="s">
        <v>157</v>
      </c>
      <c r="D574" s="402" t="s">
        <v>2799</v>
      </c>
      <c r="E574" s="67" t="s">
        <v>1546</v>
      </c>
      <c r="F574" s="67" t="s">
        <v>1696</v>
      </c>
      <c r="G574" s="67" t="s">
        <v>1803</v>
      </c>
      <c r="H574" s="353" t="s">
        <v>41</v>
      </c>
      <c r="I574" s="67" t="s">
        <v>2641</v>
      </c>
      <c r="J574" s="67" t="s">
        <v>43</v>
      </c>
      <c r="K574" s="67" t="s">
        <v>43</v>
      </c>
      <c r="L574" s="67" t="s">
        <v>43</v>
      </c>
      <c r="M574" s="67" t="s">
        <v>44</v>
      </c>
      <c r="N574" s="353">
        <v>25.412313000000001</v>
      </c>
      <c r="O574" s="353">
        <v>97.399628000000007</v>
      </c>
      <c r="P574" s="67" t="s">
        <v>756</v>
      </c>
      <c r="Q574" s="67" t="s">
        <v>775</v>
      </c>
      <c r="R574" s="356"/>
      <c r="S574" s="462"/>
      <c r="T574" s="91"/>
      <c r="U574" s="87"/>
      <c r="V574" s="67" t="s">
        <v>157</v>
      </c>
      <c r="W574" s="353"/>
      <c r="X574" s="457"/>
      <c r="Y574" s="457"/>
      <c r="Z574" s="457"/>
    </row>
    <row r="575" spans="1:26" s="67" customFormat="1" ht="14.25" customHeight="1">
      <c r="A575" s="353" t="s">
        <v>37</v>
      </c>
      <c r="B575" s="353" t="s">
        <v>148</v>
      </c>
      <c r="C575" s="354" t="s">
        <v>254</v>
      </c>
      <c r="D575" s="402" t="s">
        <v>2799</v>
      </c>
      <c r="E575" s="67" t="s">
        <v>1553</v>
      </c>
      <c r="F575" s="67" t="s">
        <v>1696</v>
      </c>
      <c r="G575" s="67" t="s">
        <v>1803</v>
      </c>
      <c r="H575" s="353" t="s">
        <v>41</v>
      </c>
      <c r="I575" s="67" t="s">
        <v>231</v>
      </c>
      <c r="J575" s="67" t="s">
        <v>43</v>
      </c>
      <c r="K575" s="67" t="s">
        <v>43</v>
      </c>
      <c r="L575" s="67" t="s">
        <v>43</v>
      </c>
      <c r="M575" s="67" t="s">
        <v>44</v>
      </c>
      <c r="N575" s="353">
        <v>25.423817</v>
      </c>
      <c r="O575" s="353">
        <v>97.418004999999994</v>
      </c>
      <c r="P575" s="67" t="s">
        <v>756</v>
      </c>
      <c r="Q575" s="67" t="s">
        <v>775</v>
      </c>
      <c r="R575" s="356"/>
      <c r="S575" s="462"/>
      <c r="T575" s="91"/>
      <c r="U575" s="87"/>
      <c r="V575" s="67" t="s">
        <v>254</v>
      </c>
      <c r="W575" s="353"/>
      <c r="X575" s="457"/>
      <c r="Y575" s="457"/>
      <c r="Z575" s="457"/>
    </row>
    <row r="576" spans="1:26" s="67" customFormat="1" ht="14.25" customHeight="1">
      <c r="A576" s="353" t="s">
        <v>37</v>
      </c>
      <c r="B576" s="354" t="s">
        <v>148</v>
      </c>
      <c r="C576" s="354" t="s">
        <v>158</v>
      </c>
      <c r="D576" s="402" t="s">
        <v>2799</v>
      </c>
      <c r="E576" s="67" t="s">
        <v>1556</v>
      </c>
      <c r="F576" s="67" t="s">
        <v>1696</v>
      </c>
      <c r="G576" s="67" t="s">
        <v>1808</v>
      </c>
      <c r="H576" s="353" t="s">
        <v>41</v>
      </c>
      <c r="I576" s="353" t="s">
        <v>2641</v>
      </c>
      <c r="J576" s="67" t="s">
        <v>43</v>
      </c>
      <c r="K576" s="67" t="s">
        <v>43</v>
      </c>
      <c r="L576" s="67" t="s">
        <v>43</v>
      </c>
      <c r="M576" s="67" t="s">
        <v>44</v>
      </c>
      <c r="N576" s="353">
        <v>25.440928</v>
      </c>
      <c r="O576" s="353">
        <v>97.419403000000003</v>
      </c>
      <c r="P576" s="67" t="s">
        <v>756</v>
      </c>
      <c r="Q576" s="67" t="s">
        <v>775</v>
      </c>
      <c r="R576" s="356"/>
      <c r="S576" s="462"/>
      <c r="T576" s="91"/>
      <c r="U576" s="87"/>
      <c r="V576" s="67" t="s">
        <v>158</v>
      </c>
      <c r="W576" s="353"/>
      <c r="X576" s="457"/>
      <c r="Y576" s="457"/>
      <c r="Z576" s="457"/>
    </row>
    <row r="577" spans="1:26" s="67" customFormat="1" ht="14.25" customHeight="1">
      <c r="A577" s="361" t="s">
        <v>37</v>
      </c>
      <c r="B577" s="360" t="s">
        <v>148</v>
      </c>
      <c r="C577" s="354" t="s">
        <v>1938</v>
      </c>
      <c r="D577" s="402" t="s">
        <v>2637</v>
      </c>
      <c r="E577" s="353" t="s">
        <v>1945</v>
      </c>
      <c r="F577" s="353"/>
      <c r="G577" s="353"/>
      <c r="H577" s="353"/>
      <c r="I577" s="353" t="s">
        <v>2104</v>
      </c>
      <c r="J577" s="353" t="s">
        <v>43</v>
      </c>
      <c r="K577" s="353" t="s">
        <v>43</v>
      </c>
      <c r="L577" s="353" t="s">
        <v>755</v>
      </c>
      <c r="M577" s="353" t="s">
        <v>44</v>
      </c>
      <c r="N577" s="353">
        <v>97.49136</v>
      </c>
      <c r="O577" s="353">
        <v>25.717300000000002</v>
      </c>
      <c r="P577" s="354" t="s">
        <v>756</v>
      </c>
      <c r="Q577" s="353" t="s">
        <v>1921</v>
      </c>
      <c r="R577" s="356"/>
      <c r="S577" s="462"/>
      <c r="T577" s="376">
        <v>43276</v>
      </c>
      <c r="U577" s="358" t="s">
        <v>1968</v>
      </c>
      <c r="V577" s="353"/>
      <c r="W577" s="348" t="s">
        <v>2246</v>
      </c>
      <c r="X577" s="457"/>
      <c r="Y577" s="457"/>
      <c r="Z577" s="457"/>
    </row>
    <row r="578" spans="1:26" s="67" customFormat="1" ht="14.25" customHeight="1">
      <c r="A578" s="353" t="s">
        <v>37</v>
      </c>
      <c r="B578" s="354" t="s">
        <v>148</v>
      </c>
      <c r="C578" s="354" t="s">
        <v>1139</v>
      </c>
      <c r="D578" s="402" t="s">
        <v>1635</v>
      </c>
      <c r="J578" s="67" t="s">
        <v>43</v>
      </c>
      <c r="K578" s="67" t="s">
        <v>43</v>
      </c>
      <c r="L578" s="67" t="s">
        <v>1082</v>
      </c>
      <c r="M578" s="67" t="s">
        <v>44</v>
      </c>
      <c r="N578" s="353"/>
      <c r="O578" s="353"/>
      <c r="P578" s="67" t="s">
        <v>756</v>
      </c>
      <c r="R578" s="356"/>
      <c r="S578" s="357"/>
      <c r="T578" s="91"/>
      <c r="U578" s="87"/>
      <c r="V578" s="67" t="s">
        <v>1139</v>
      </c>
      <c r="W578" s="353"/>
      <c r="X578" s="457"/>
      <c r="Y578" s="457"/>
      <c r="Z578" s="457"/>
    </row>
    <row r="579" spans="1:26" s="67" customFormat="1" ht="14.25" customHeight="1">
      <c r="A579" s="353" t="s">
        <v>37</v>
      </c>
      <c r="B579" s="354" t="s">
        <v>148</v>
      </c>
      <c r="C579" s="354" t="s">
        <v>159</v>
      </c>
      <c r="D579" s="402" t="s">
        <v>2799</v>
      </c>
      <c r="E579" s="353" t="s">
        <v>1547</v>
      </c>
      <c r="F579" s="353" t="s">
        <v>1696</v>
      </c>
      <c r="G579" s="353" t="s">
        <v>1800</v>
      </c>
      <c r="H579" s="353" t="s">
        <v>41</v>
      </c>
      <c r="I579" s="353" t="s">
        <v>2641</v>
      </c>
      <c r="J579" s="353" t="s">
        <v>43</v>
      </c>
      <c r="K579" s="353" t="s">
        <v>43</v>
      </c>
      <c r="L579" s="353" t="s">
        <v>43</v>
      </c>
      <c r="M579" s="353" t="s">
        <v>44</v>
      </c>
      <c r="N579" s="353">
        <v>25.415482000000001</v>
      </c>
      <c r="O579" s="353">
        <v>97.386718999999999</v>
      </c>
      <c r="P579" s="353" t="s">
        <v>756</v>
      </c>
      <c r="Q579" s="353" t="s">
        <v>775</v>
      </c>
      <c r="R579" s="356"/>
      <c r="S579" s="462"/>
      <c r="T579" s="376"/>
      <c r="U579" s="358"/>
      <c r="V579" s="353" t="s">
        <v>159</v>
      </c>
      <c r="W579" s="353"/>
      <c r="X579" s="457"/>
      <c r="Y579" s="457"/>
      <c r="Z579" s="457"/>
    </row>
    <row r="580" spans="1:26" s="67" customFormat="1" ht="14.25" customHeight="1">
      <c r="A580" s="353" t="s">
        <v>37</v>
      </c>
      <c r="B580" s="354" t="s">
        <v>148</v>
      </c>
      <c r="C580" s="354" t="s">
        <v>255</v>
      </c>
      <c r="D580" s="402" t="s">
        <v>2799</v>
      </c>
      <c r="E580" s="67" t="s">
        <v>1552</v>
      </c>
      <c r="F580" s="67" t="s">
        <v>1696</v>
      </c>
      <c r="G580" s="67" t="s">
        <v>1800</v>
      </c>
      <c r="H580" s="353" t="s">
        <v>41</v>
      </c>
      <c r="I580" s="353" t="s">
        <v>231</v>
      </c>
      <c r="J580" s="67" t="s">
        <v>43</v>
      </c>
      <c r="K580" s="353" t="s">
        <v>43</v>
      </c>
      <c r="L580" s="353" t="s">
        <v>43</v>
      </c>
      <c r="M580" s="67" t="s">
        <v>44</v>
      </c>
      <c r="N580" s="353">
        <v>25.423209</v>
      </c>
      <c r="O580" s="353">
        <v>97.379987</v>
      </c>
      <c r="P580" s="353" t="s">
        <v>756</v>
      </c>
      <c r="Q580" s="67" t="s">
        <v>775</v>
      </c>
      <c r="R580" s="356"/>
      <c r="S580" s="462"/>
      <c r="T580" s="91"/>
      <c r="U580" s="87"/>
      <c r="V580" s="67" t="s">
        <v>1050</v>
      </c>
      <c r="W580" s="353"/>
      <c r="X580" s="457"/>
      <c r="Y580" s="457"/>
      <c r="Z580" s="457"/>
    </row>
    <row r="581" spans="1:26" s="67" customFormat="1" ht="14.25" customHeight="1">
      <c r="A581" s="353" t="s">
        <v>37</v>
      </c>
      <c r="B581" s="354" t="s">
        <v>148</v>
      </c>
      <c r="C581" s="354" t="s">
        <v>256</v>
      </c>
      <c r="D581" s="402" t="s">
        <v>2799</v>
      </c>
      <c r="E581" s="353" t="s">
        <v>1549</v>
      </c>
      <c r="F581" s="353" t="s">
        <v>1696</v>
      </c>
      <c r="G581" s="353" t="s">
        <v>1800</v>
      </c>
      <c r="H581" s="353" t="s">
        <v>41</v>
      </c>
      <c r="I581" s="353" t="s">
        <v>231</v>
      </c>
      <c r="J581" s="353" t="s">
        <v>43</v>
      </c>
      <c r="K581" s="353" t="s">
        <v>43</v>
      </c>
      <c r="L581" s="353" t="s">
        <v>43</v>
      </c>
      <c r="M581" s="353" t="s">
        <v>44</v>
      </c>
      <c r="N581" s="353">
        <v>25.417733999999999</v>
      </c>
      <c r="O581" s="353">
        <v>97.389778000000007</v>
      </c>
      <c r="P581" s="353" t="s">
        <v>756</v>
      </c>
      <c r="Q581" s="353" t="s">
        <v>775</v>
      </c>
      <c r="R581" s="356"/>
      <c r="S581" s="462"/>
      <c r="T581" s="376"/>
      <c r="U581" s="358"/>
      <c r="V581" s="353" t="s">
        <v>256</v>
      </c>
      <c r="W581" s="353"/>
      <c r="X581" s="457"/>
      <c r="Y581" s="457"/>
      <c r="Z581" s="457"/>
    </row>
    <row r="582" spans="1:26" s="67" customFormat="1" ht="14.25" customHeight="1">
      <c r="A582" s="353" t="s">
        <v>37</v>
      </c>
      <c r="B582" s="354" t="s">
        <v>148</v>
      </c>
      <c r="C582" s="354" t="s">
        <v>160</v>
      </c>
      <c r="D582" s="402" t="s">
        <v>2799</v>
      </c>
      <c r="E582" s="353" t="s">
        <v>1542</v>
      </c>
      <c r="F582" s="67" t="s">
        <v>1696</v>
      </c>
      <c r="G582" s="67" t="s">
        <v>1800</v>
      </c>
      <c r="H582" s="353" t="s">
        <v>41</v>
      </c>
      <c r="I582" s="353" t="s">
        <v>2641</v>
      </c>
      <c r="J582" s="67" t="s">
        <v>43</v>
      </c>
      <c r="K582" s="67" t="s">
        <v>43</v>
      </c>
      <c r="L582" s="353" t="s">
        <v>43</v>
      </c>
      <c r="M582" s="67" t="s">
        <v>44</v>
      </c>
      <c r="N582" s="353">
        <v>25.404752999999999</v>
      </c>
      <c r="O582" s="353">
        <v>97.377662999999998</v>
      </c>
      <c r="P582" s="353" t="s">
        <v>756</v>
      </c>
      <c r="Q582" s="67" t="s">
        <v>775</v>
      </c>
      <c r="R582" s="356"/>
      <c r="S582" s="462"/>
      <c r="T582" s="91"/>
      <c r="U582" s="358"/>
      <c r="V582" s="353" t="s">
        <v>160</v>
      </c>
      <c r="W582" s="353"/>
      <c r="X582" s="457"/>
      <c r="Y582" s="457"/>
      <c r="Z582" s="457"/>
    </row>
    <row r="583" spans="1:26" s="67" customFormat="1" ht="14.25" customHeight="1">
      <c r="A583" s="353" t="s">
        <v>37</v>
      </c>
      <c r="B583" s="354" t="s">
        <v>148</v>
      </c>
      <c r="C583" s="354" t="s">
        <v>161</v>
      </c>
      <c r="D583" s="402" t="s">
        <v>2799</v>
      </c>
      <c r="E583" s="353" t="s">
        <v>1541</v>
      </c>
      <c r="F583" s="353" t="s">
        <v>1696</v>
      </c>
      <c r="G583" s="353" t="s">
        <v>1800</v>
      </c>
      <c r="H583" s="353" t="s">
        <v>41</v>
      </c>
      <c r="I583" s="353" t="s">
        <v>2641</v>
      </c>
      <c r="J583" s="67" t="s">
        <v>43</v>
      </c>
      <c r="K583" s="353" t="s">
        <v>43</v>
      </c>
      <c r="L583" s="353" t="s">
        <v>43</v>
      </c>
      <c r="M583" s="67" t="s">
        <v>44</v>
      </c>
      <c r="N583" s="353">
        <v>25.404015000000001</v>
      </c>
      <c r="O583" s="353">
        <v>97.382192000000003</v>
      </c>
      <c r="P583" s="353" t="s">
        <v>756</v>
      </c>
      <c r="Q583" s="67" t="s">
        <v>775</v>
      </c>
      <c r="R583" s="356"/>
      <c r="S583" s="462"/>
      <c r="T583" s="91"/>
      <c r="U583" s="358"/>
      <c r="V583" s="353" t="s">
        <v>161</v>
      </c>
      <c r="W583" s="353"/>
      <c r="X583" s="457"/>
      <c r="Y583" s="457"/>
      <c r="Z583" s="457"/>
    </row>
    <row r="584" spans="1:26" s="67" customFormat="1" ht="14.25" customHeight="1">
      <c r="A584" s="361" t="s">
        <v>37</v>
      </c>
      <c r="B584" s="360" t="s">
        <v>148</v>
      </c>
      <c r="C584" s="354" t="s">
        <v>1926</v>
      </c>
      <c r="D584" s="355"/>
      <c r="F584" s="353"/>
      <c r="H584" s="353"/>
      <c r="J584" s="67" t="s">
        <v>1443</v>
      </c>
      <c r="K584" s="353" t="s">
        <v>43</v>
      </c>
      <c r="L584" s="353" t="s">
        <v>43</v>
      </c>
      <c r="M584" s="67" t="s">
        <v>44</v>
      </c>
      <c r="N584" s="353"/>
      <c r="O584" s="353"/>
      <c r="P584" s="353" t="s">
        <v>756</v>
      </c>
      <c r="Q584" s="67" t="s">
        <v>1921</v>
      </c>
      <c r="R584" s="364"/>
      <c r="S584" s="357"/>
      <c r="T584" s="91">
        <v>43270</v>
      </c>
      <c r="U584" s="87"/>
      <c r="W584" s="353"/>
      <c r="X584" s="457"/>
      <c r="Y584" s="457"/>
      <c r="Z584" s="457"/>
    </row>
    <row r="585" spans="1:26" s="67" customFormat="1" ht="14.25" customHeight="1">
      <c r="A585" s="361" t="s">
        <v>37</v>
      </c>
      <c r="B585" s="360" t="s">
        <v>148</v>
      </c>
      <c r="C585" s="354" t="s">
        <v>1939</v>
      </c>
      <c r="D585" s="402" t="s">
        <v>2799</v>
      </c>
      <c r="E585" s="354" t="s">
        <v>1947</v>
      </c>
      <c r="F585" s="354"/>
      <c r="G585" s="354"/>
      <c r="H585" s="354"/>
      <c r="I585" s="354" t="s">
        <v>2104</v>
      </c>
      <c r="J585" s="353" t="s">
        <v>43</v>
      </c>
      <c r="K585" s="353" t="s">
        <v>43</v>
      </c>
      <c r="L585" s="354" t="s">
        <v>771</v>
      </c>
      <c r="M585" s="353" t="s">
        <v>44</v>
      </c>
      <c r="N585" s="353">
        <v>0</v>
      </c>
      <c r="O585" s="353">
        <v>0</v>
      </c>
      <c r="P585" s="17" t="s">
        <v>756</v>
      </c>
      <c r="Q585" s="353" t="s">
        <v>1921</v>
      </c>
      <c r="R585" s="356"/>
      <c r="S585" s="462"/>
      <c r="T585" s="376">
        <v>43276</v>
      </c>
      <c r="U585" s="362" t="s">
        <v>1969</v>
      </c>
      <c r="V585" s="354"/>
      <c r="W585" s="348" t="s">
        <v>2115</v>
      </c>
      <c r="X585" s="457"/>
      <c r="Y585" s="457"/>
      <c r="Z585" s="457"/>
    </row>
    <row r="586" spans="1:26" s="67" customFormat="1" ht="14.25" customHeight="1">
      <c r="A586" s="361" t="s">
        <v>37</v>
      </c>
      <c r="B586" s="360" t="s">
        <v>148</v>
      </c>
      <c r="C586" s="354" t="s">
        <v>2099</v>
      </c>
      <c r="D586" s="402" t="s">
        <v>2799</v>
      </c>
      <c r="E586" s="353" t="s">
        <v>1944</v>
      </c>
      <c r="F586" s="353"/>
      <c r="G586" s="353"/>
      <c r="H586" s="353" t="s">
        <v>41</v>
      </c>
      <c r="I586" s="353" t="s">
        <v>2641</v>
      </c>
      <c r="J586" s="67" t="s">
        <v>43</v>
      </c>
      <c r="K586" s="67" t="s">
        <v>43</v>
      </c>
      <c r="L586" s="67" t="s">
        <v>43</v>
      </c>
      <c r="M586" s="67" t="s">
        <v>44</v>
      </c>
      <c r="N586" s="353">
        <v>25.480989999999998</v>
      </c>
      <c r="O586" s="353">
        <v>97.431079999999994</v>
      </c>
      <c r="P586" s="354" t="s">
        <v>756</v>
      </c>
      <c r="Q586" s="67" t="s">
        <v>1921</v>
      </c>
      <c r="R586" s="356"/>
      <c r="S586" s="462"/>
      <c r="T586" s="91">
        <v>43276</v>
      </c>
      <c r="U586" s="358" t="s">
        <v>1968</v>
      </c>
      <c r="V586" s="353"/>
      <c r="W586" s="348" t="s">
        <v>2247</v>
      </c>
      <c r="X586" s="457"/>
      <c r="Y586" s="457"/>
      <c r="Z586" s="457"/>
    </row>
    <row r="587" spans="1:26" s="67" customFormat="1" ht="14.25" customHeight="1">
      <c r="A587" s="361" t="s">
        <v>37</v>
      </c>
      <c r="B587" s="360" t="s">
        <v>148</v>
      </c>
      <c r="C587" s="354" t="s">
        <v>1927</v>
      </c>
      <c r="D587" s="355"/>
      <c r="E587" s="353"/>
      <c r="F587" s="353"/>
      <c r="G587" s="353"/>
      <c r="H587" s="353"/>
      <c r="I587" s="353"/>
      <c r="J587" s="353" t="s">
        <v>1443</v>
      </c>
      <c r="K587" s="353" t="s">
        <v>43</v>
      </c>
      <c r="L587" s="353" t="s">
        <v>43</v>
      </c>
      <c r="M587" s="353" t="s">
        <v>44</v>
      </c>
      <c r="N587" s="353"/>
      <c r="O587" s="353"/>
      <c r="P587" s="353" t="s">
        <v>756</v>
      </c>
      <c r="Q587" s="353" t="s">
        <v>1921</v>
      </c>
      <c r="R587" s="364"/>
      <c r="S587" s="357"/>
      <c r="T587" s="376">
        <v>43270</v>
      </c>
      <c r="U587" s="358"/>
      <c r="V587" s="353"/>
      <c r="W587" s="353"/>
      <c r="X587" s="457"/>
      <c r="Y587" s="457"/>
      <c r="Z587" s="457"/>
    </row>
    <row r="588" spans="1:26" s="67" customFormat="1" ht="14.25" customHeight="1">
      <c r="A588" s="353" t="s">
        <v>37</v>
      </c>
      <c r="B588" s="354" t="s">
        <v>148</v>
      </c>
      <c r="C588" s="354" t="s">
        <v>1042</v>
      </c>
      <c r="D588" s="402" t="s">
        <v>1636</v>
      </c>
      <c r="E588" s="67" t="s">
        <v>1534</v>
      </c>
      <c r="F588" s="67" t="s">
        <v>1696</v>
      </c>
      <c r="G588" s="67" t="s">
        <v>1697</v>
      </c>
      <c r="H588" s="67" t="s">
        <v>41</v>
      </c>
      <c r="I588" s="67" t="s">
        <v>231</v>
      </c>
      <c r="J588" s="67" t="s">
        <v>43</v>
      </c>
      <c r="K588" s="67" t="s">
        <v>43</v>
      </c>
      <c r="L588" s="67" t="s">
        <v>755</v>
      </c>
      <c r="M588" s="67" t="s">
        <v>44</v>
      </c>
      <c r="N588" s="353">
        <v>25.377038169999999</v>
      </c>
      <c r="O588" s="353">
        <v>97.403878500000005</v>
      </c>
      <c r="P588" s="67" t="s">
        <v>756</v>
      </c>
      <c r="Q588" s="67" t="s">
        <v>775</v>
      </c>
      <c r="R588" s="356"/>
      <c r="S588" s="357"/>
      <c r="T588" s="91">
        <v>42983</v>
      </c>
      <c r="U588" s="87" t="s">
        <v>1043</v>
      </c>
      <c r="V588" s="67" t="s">
        <v>1042</v>
      </c>
      <c r="W588" s="353" t="s">
        <v>2147</v>
      </c>
      <c r="X588" s="457"/>
      <c r="Y588" s="457"/>
      <c r="Z588" s="457"/>
    </row>
    <row r="589" spans="1:26" s="67" customFormat="1" ht="14.25" customHeight="1">
      <c r="A589" s="353" t="s">
        <v>37</v>
      </c>
      <c r="B589" s="353" t="s">
        <v>162</v>
      </c>
      <c r="C589" s="353" t="s">
        <v>1095</v>
      </c>
      <c r="D589" s="402" t="s">
        <v>1635</v>
      </c>
      <c r="E589" s="353"/>
      <c r="F589" s="353"/>
      <c r="G589" s="353"/>
      <c r="H589" s="353"/>
      <c r="I589" s="353"/>
      <c r="J589" s="67" t="s">
        <v>43</v>
      </c>
      <c r="K589" s="67" t="s">
        <v>43</v>
      </c>
      <c r="L589" s="67" t="s">
        <v>1082</v>
      </c>
      <c r="M589" s="67" t="s">
        <v>44</v>
      </c>
      <c r="N589" s="353"/>
      <c r="O589" s="353"/>
      <c r="P589" s="67" t="s">
        <v>756</v>
      </c>
      <c r="R589" s="356"/>
      <c r="S589" s="357"/>
      <c r="T589" s="91"/>
      <c r="U589" s="358"/>
      <c r="V589" s="353" t="s">
        <v>1095</v>
      </c>
      <c r="W589" s="353"/>
      <c r="X589" s="457"/>
      <c r="Y589" s="457"/>
      <c r="Z589" s="457"/>
    </row>
    <row r="590" spans="1:26" s="67" customFormat="1" ht="14.25" customHeight="1">
      <c r="A590" s="353" t="s">
        <v>37</v>
      </c>
      <c r="B590" s="353" t="s">
        <v>162</v>
      </c>
      <c r="C590" s="353" t="s">
        <v>1069</v>
      </c>
      <c r="D590" s="402" t="s">
        <v>2799</v>
      </c>
      <c r="E590" s="353" t="s">
        <v>1598</v>
      </c>
      <c r="F590" s="353" t="s">
        <v>1709</v>
      </c>
      <c r="G590" s="353" t="s">
        <v>1850</v>
      </c>
      <c r="H590" s="353"/>
      <c r="I590" s="354" t="s">
        <v>2104</v>
      </c>
      <c r="J590" s="67" t="s">
        <v>43</v>
      </c>
      <c r="K590" s="353" t="s">
        <v>43</v>
      </c>
      <c r="L590" s="353" t="s">
        <v>767</v>
      </c>
      <c r="M590" s="67" t="s">
        <v>44</v>
      </c>
      <c r="N590" s="353">
        <v>27.248964999999998</v>
      </c>
      <c r="O590" s="353">
        <v>97.561105999999995</v>
      </c>
      <c r="P590" s="67" t="s">
        <v>768</v>
      </c>
      <c r="Q590" s="67" t="s">
        <v>757</v>
      </c>
      <c r="R590" s="356"/>
      <c r="S590" s="462"/>
      <c r="T590" s="91"/>
      <c r="U590" s="358" t="s">
        <v>1070</v>
      </c>
      <c r="V590" s="353"/>
      <c r="W590" s="353"/>
      <c r="X590" s="457"/>
      <c r="Y590" s="457"/>
      <c r="Z590" s="457"/>
    </row>
    <row r="591" spans="1:26" s="67" customFormat="1" ht="14.25" customHeight="1">
      <c r="A591" s="353" t="s">
        <v>37</v>
      </c>
      <c r="B591" s="353" t="s">
        <v>162</v>
      </c>
      <c r="C591" s="353" t="s">
        <v>163</v>
      </c>
      <c r="D591" s="402" t="s">
        <v>2799</v>
      </c>
      <c r="E591" s="67" t="s">
        <v>1602</v>
      </c>
      <c r="F591" s="353" t="s">
        <v>1825</v>
      </c>
      <c r="G591" s="67" t="s">
        <v>1826</v>
      </c>
      <c r="H591" s="67" t="s">
        <v>41</v>
      </c>
      <c r="I591" s="67" t="s">
        <v>2641</v>
      </c>
      <c r="J591" s="67" t="s">
        <v>43</v>
      </c>
      <c r="K591" s="353" t="s">
        <v>43</v>
      </c>
      <c r="L591" s="353" t="s">
        <v>43</v>
      </c>
      <c r="M591" s="67" t="s">
        <v>44</v>
      </c>
      <c r="N591" s="353">
        <v>27.337499999999999</v>
      </c>
      <c r="O591" s="353">
        <v>97.416121000000004</v>
      </c>
      <c r="P591" s="67" t="s">
        <v>756</v>
      </c>
      <c r="Q591" s="67" t="s">
        <v>775</v>
      </c>
      <c r="R591" s="356"/>
      <c r="S591" s="462"/>
      <c r="T591" s="91"/>
      <c r="U591" s="87"/>
      <c r="V591" s="67" t="s">
        <v>1077</v>
      </c>
      <c r="W591" s="353"/>
      <c r="X591" s="457"/>
      <c r="Y591" s="457"/>
      <c r="Z591" s="457"/>
    </row>
    <row r="592" spans="1:26" s="67" customFormat="1" ht="14.25" customHeight="1">
      <c r="A592" s="353" t="s">
        <v>37</v>
      </c>
      <c r="B592" s="353" t="s">
        <v>162</v>
      </c>
      <c r="C592" s="353" t="s">
        <v>1071</v>
      </c>
      <c r="D592" s="402" t="s">
        <v>1636</v>
      </c>
      <c r="E592" s="67" t="s">
        <v>1599</v>
      </c>
      <c r="F592" s="67" t="s">
        <v>1709</v>
      </c>
      <c r="G592" s="67" t="s">
        <v>1710</v>
      </c>
      <c r="I592" s="67">
        <v>0</v>
      </c>
      <c r="J592" s="67" t="s">
        <v>43</v>
      </c>
      <c r="K592" s="353" t="s">
        <v>43</v>
      </c>
      <c r="L592" s="353" t="s">
        <v>755</v>
      </c>
      <c r="M592" s="67" t="s">
        <v>44</v>
      </c>
      <c r="N592" s="67">
        <v>27.270199999999999</v>
      </c>
      <c r="O592" s="353">
        <v>97.58184</v>
      </c>
      <c r="P592" s="67" t="s">
        <v>756</v>
      </c>
      <c r="R592" s="356"/>
      <c r="S592" s="357"/>
      <c r="T592" s="91"/>
      <c r="U592" s="87"/>
      <c r="V592" s="67" t="s">
        <v>1071</v>
      </c>
      <c r="W592" s="348" t="s">
        <v>2148</v>
      </c>
      <c r="X592" s="457"/>
      <c r="Y592" s="457"/>
      <c r="Z592" s="457"/>
    </row>
    <row r="593" spans="1:26" s="67" customFormat="1" ht="14.25" customHeight="1">
      <c r="A593" s="353" t="s">
        <v>37</v>
      </c>
      <c r="B593" s="353" t="s">
        <v>162</v>
      </c>
      <c r="C593" s="353" t="s">
        <v>1120</v>
      </c>
      <c r="D593" s="402" t="s">
        <v>1635</v>
      </c>
      <c r="J593" s="67" t="s">
        <v>43</v>
      </c>
      <c r="K593" s="67" t="s">
        <v>43</v>
      </c>
      <c r="L593" s="67" t="s">
        <v>1082</v>
      </c>
      <c r="M593" s="67" t="s">
        <v>44</v>
      </c>
      <c r="P593" s="67" t="s">
        <v>756</v>
      </c>
      <c r="R593" s="85"/>
      <c r="S593" s="86"/>
      <c r="T593" s="91"/>
      <c r="U593" s="87"/>
      <c r="V593" s="67" t="s">
        <v>1120</v>
      </c>
      <c r="W593" s="353"/>
      <c r="X593" s="457"/>
      <c r="Y593" s="457"/>
      <c r="Z593" s="457"/>
    </row>
    <row r="594" spans="1:26" s="67" customFormat="1" ht="14.25" customHeight="1">
      <c r="A594" s="353" t="s">
        <v>37</v>
      </c>
      <c r="B594" s="354" t="s">
        <v>162</v>
      </c>
      <c r="C594" s="354" t="s">
        <v>1075</v>
      </c>
      <c r="D594" s="402" t="s">
        <v>2799</v>
      </c>
      <c r="E594" s="67" t="s">
        <v>1601</v>
      </c>
      <c r="F594" s="67" t="s">
        <v>1825</v>
      </c>
      <c r="G594" s="67" t="s">
        <v>1851</v>
      </c>
      <c r="I594" s="354" t="s">
        <v>2104</v>
      </c>
      <c r="J594" s="67" t="s">
        <v>43</v>
      </c>
      <c r="K594" s="67" t="s">
        <v>43</v>
      </c>
      <c r="L594" s="67" t="s">
        <v>767</v>
      </c>
      <c r="M594" s="67" t="s">
        <v>44</v>
      </c>
      <c r="N594" s="67">
        <v>27.311699999999998</v>
      </c>
      <c r="O594" s="67">
        <v>97.415289999999999</v>
      </c>
      <c r="P594" s="67" t="s">
        <v>768</v>
      </c>
      <c r="Q594" s="67" t="s">
        <v>757</v>
      </c>
      <c r="R594" s="356"/>
      <c r="S594" s="462"/>
      <c r="T594" s="91"/>
      <c r="U594" s="87" t="s">
        <v>1076</v>
      </c>
      <c r="V594" s="67" t="s">
        <v>1075</v>
      </c>
      <c r="W594" s="353"/>
      <c r="X594" s="457"/>
      <c r="Y594" s="457"/>
      <c r="Z594" s="457"/>
    </row>
    <row r="595" spans="1:26" s="67" customFormat="1" ht="14.25" customHeight="1">
      <c r="A595" s="357" t="s">
        <v>37</v>
      </c>
      <c r="B595" s="360" t="s">
        <v>203</v>
      </c>
      <c r="C595" s="361" t="s">
        <v>2008</v>
      </c>
      <c r="D595" s="355"/>
      <c r="J595" s="67" t="s">
        <v>1443</v>
      </c>
      <c r="K595" s="354" t="s">
        <v>43</v>
      </c>
      <c r="L595" s="354" t="s">
        <v>771</v>
      </c>
      <c r="M595" s="67" t="s">
        <v>773</v>
      </c>
      <c r="N595" s="353"/>
      <c r="O595" s="353"/>
      <c r="P595" s="67" t="s">
        <v>756</v>
      </c>
      <c r="R595" s="364"/>
      <c r="S595" s="357"/>
      <c r="T595" s="91">
        <v>43298</v>
      </c>
      <c r="U595" s="87"/>
      <c r="W595" s="353"/>
      <c r="X595" s="457"/>
      <c r="Y595" s="457"/>
      <c r="Z595" s="457"/>
    </row>
    <row r="596" spans="1:26" s="67" customFormat="1" ht="14.25" customHeight="1">
      <c r="A596" s="357" t="s">
        <v>37</v>
      </c>
      <c r="B596" s="360" t="s">
        <v>203</v>
      </c>
      <c r="C596" s="382" t="s">
        <v>2000</v>
      </c>
      <c r="D596" s="355" t="s">
        <v>2799</v>
      </c>
      <c r="E596" s="353" t="s">
        <v>2800</v>
      </c>
      <c r="F596" s="353"/>
      <c r="G596" s="353"/>
      <c r="H596" s="353"/>
      <c r="I596" s="353"/>
      <c r="J596" s="353" t="s">
        <v>43</v>
      </c>
      <c r="K596" s="354" t="s">
        <v>43</v>
      </c>
      <c r="L596" s="354" t="s">
        <v>771</v>
      </c>
      <c r="M596" s="353" t="s">
        <v>773</v>
      </c>
      <c r="N596" s="353"/>
      <c r="O596" s="353"/>
      <c r="P596" s="353" t="s">
        <v>756</v>
      </c>
      <c r="Q596" s="353"/>
      <c r="R596" s="364"/>
      <c r="S596" s="357"/>
      <c r="T596" s="376">
        <v>43628</v>
      </c>
      <c r="U596" s="358"/>
      <c r="V596" s="353"/>
      <c r="W596" s="353" t="s">
        <v>2801</v>
      </c>
      <c r="X596" s="457"/>
      <c r="Y596" s="457"/>
      <c r="Z596" s="457"/>
    </row>
    <row r="597" spans="1:26" s="67" customFormat="1" ht="14.25" customHeight="1">
      <c r="A597" s="353" t="s">
        <v>37</v>
      </c>
      <c r="B597" s="354" t="s">
        <v>203</v>
      </c>
      <c r="C597" s="354" t="s">
        <v>204</v>
      </c>
      <c r="D597" s="402" t="s">
        <v>2799</v>
      </c>
      <c r="E597" s="67" t="s">
        <v>1456</v>
      </c>
      <c r="F597" s="67" t="s">
        <v>1754</v>
      </c>
      <c r="G597" s="67" t="s">
        <v>1754</v>
      </c>
      <c r="H597" s="67" t="s">
        <v>41</v>
      </c>
      <c r="I597" s="67" t="s">
        <v>2640</v>
      </c>
      <c r="J597" s="67" t="s">
        <v>43</v>
      </c>
      <c r="K597" s="67" t="s">
        <v>43</v>
      </c>
      <c r="L597" s="67" t="s">
        <v>43</v>
      </c>
      <c r="M597" s="67" t="s">
        <v>44</v>
      </c>
      <c r="N597" s="67">
        <v>24.200361000000001</v>
      </c>
      <c r="O597" s="67">
        <v>96.807353000000006</v>
      </c>
      <c r="P597" s="67" t="s">
        <v>756</v>
      </c>
      <c r="Q597" s="67" t="s">
        <v>775</v>
      </c>
      <c r="R597" s="85"/>
      <c r="S597" s="462"/>
      <c r="T597" s="91"/>
      <c r="U597" s="87"/>
      <c r="V597" s="67" t="s">
        <v>204</v>
      </c>
      <c r="X597" s="457"/>
      <c r="Y597" s="457"/>
      <c r="Z597" s="457"/>
    </row>
    <row r="598" spans="1:26" s="67" customFormat="1" ht="14.25" customHeight="1">
      <c r="A598" s="353" t="s">
        <v>37</v>
      </c>
      <c r="B598" s="354" t="s">
        <v>203</v>
      </c>
      <c r="C598" s="354" t="s">
        <v>205</v>
      </c>
      <c r="D598" s="402" t="s">
        <v>2799</v>
      </c>
      <c r="E598" s="353" t="s">
        <v>1457</v>
      </c>
      <c r="F598" s="353" t="s">
        <v>1754</v>
      </c>
      <c r="G598" s="353" t="s">
        <v>1754</v>
      </c>
      <c r="H598" s="353" t="s">
        <v>41</v>
      </c>
      <c r="I598" s="353" t="s">
        <v>42</v>
      </c>
      <c r="J598" s="353" t="s">
        <v>43</v>
      </c>
      <c r="K598" s="353" t="s">
        <v>43</v>
      </c>
      <c r="L598" s="353" t="s">
        <v>43</v>
      </c>
      <c r="M598" s="353" t="s">
        <v>44</v>
      </c>
      <c r="N598" s="353">
        <v>24.200367</v>
      </c>
      <c r="O598" s="353">
        <v>96.807353000000006</v>
      </c>
      <c r="P598" s="353" t="s">
        <v>756</v>
      </c>
      <c r="Q598" s="353" t="s">
        <v>775</v>
      </c>
      <c r="R598" s="356"/>
      <c r="S598" s="462"/>
      <c r="T598" s="376"/>
      <c r="U598" s="358"/>
      <c r="V598" s="353" t="s">
        <v>205</v>
      </c>
      <c r="W598" s="353"/>
      <c r="X598" s="457"/>
      <c r="Y598" s="457"/>
      <c r="Z598" s="457"/>
    </row>
    <row r="599" spans="1:26" s="67" customFormat="1" ht="14.25" customHeight="1">
      <c r="A599" s="353" t="s">
        <v>37</v>
      </c>
      <c r="B599" s="354" t="s">
        <v>203</v>
      </c>
      <c r="C599" s="354" t="s">
        <v>1133</v>
      </c>
      <c r="D599" s="402" t="s">
        <v>1635</v>
      </c>
      <c r="E599" s="353"/>
      <c r="F599" s="353"/>
      <c r="G599" s="353"/>
      <c r="H599" s="353"/>
      <c r="I599" s="353"/>
      <c r="J599" s="353" t="s">
        <v>1082</v>
      </c>
      <c r="K599" s="353" t="s">
        <v>43</v>
      </c>
      <c r="L599" s="353" t="s">
        <v>755</v>
      </c>
      <c r="M599" s="353" t="s">
        <v>44</v>
      </c>
      <c r="N599" s="353"/>
      <c r="O599" s="353"/>
      <c r="P599" s="67" t="s">
        <v>756</v>
      </c>
      <c r="Q599" s="353"/>
      <c r="R599" s="356"/>
      <c r="S599" s="357"/>
      <c r="T599" s="376"/>
      <c r="U599" s="358"/>
      <c r="V599" s="353" t="s">
        <v>1133</v>
      </c>
      <c r="X599" s="457"/>
      <c r="Y599" s="457"/>
      <c r="Z599" s="457"/>
    </row>
    <row r="600" spans="1:26" s="67" customFormat="1" ht="14.25" customHeight="1">
      <c r="A600" s="353" t="s">
        <v>37</v>
      </c>
      <c r="B600" s="354" t="s">
        <v>203</v>
      </c>
      <c r="C600" s="354" t="s">
        <v>997</v>
      </c>
      <c r="D600" s="402" t="s">
        <v>1635</v>
      </c>
      <c r="E600" s="67" t="s">
        <v>1465</v>
      </c>
      <c r="I600" s="67">
        <v>0</v>
      </c>
      <c r="J600" s="67" t="s">
        <v>43</v>
      </c>
      <c r="K600" s="67" t="s">
        <v>43</v>
      </c>
      <c r="L600" s="67" t="s">
        <v>755</v>
      </c>
      <c r="M600" s="67" t="s">
        <v>44</v>
      </c>
      <c r="N600" s="67">
        <v>24.224830999999998</v>
      </c>
      <c r="O600" s="67">
        <v>96.793177</v>
      </c>
      <c r="P600" s="67" t="s">
        <v>756</v>
      </c>
      <c r="Q600" s="67" t="s">
        <v>757</v>
      </c>
      <c r="R600" s="356"/>
      <c r="S600" s="86"/>
      <c r="T600" s="91">
        <v>42983</v>
      </c>
      <c r="U600" s="87" t="s">
        <v>998</v>
      </c>
      <c r="W600" s="67" t="s">
        <v>2149</v>
      </c>
      <c r="X600" s="457"/>
      <c r="Y600" s="457"/>
      <c r="Z600" s="457"/>
    </row>
    <row r="601" spans="1:26" s="67" customFormat="1" ht="14.25" customHeight="1">
      <c r="A601" s="357" t="s">
        <v>37</v>
      </c>
      <c r="B601" s="360" t="s">
        <v>203</v>
      </c>
      <c r="C601" s="361" t="s">
        <v>2007</v>
      </c>
      <c r="D601" s="355"/>
      <c r="J601" s="67" t="s">
        <v>1443</v>
      </c>
      <c r="K601" s="354" t="s">
        <v>43</v>
      </c>
      <c r="L601" s="354" t="s">
        <v>771</v>
      </c>
      <c r="M601" s="67" t="s">
        <v>773</v>
      </c>
      <c r="N601" s="353"/>
      <c r="O601" s="353"/>
      <c r="P601" s="67" t="s">
        <v>756</v>
      </c>
      <c r="R601" s="364"/>
      <c r="S601" s="86"/>
      <c r="T601" s="91">
        <v>43298</v>
      </c>
      <c r="U601" s="87"/>
      <c r="X601" s="457"/>
      <c r="Y601" s="457"/>
      <c r="Z601" s="457"/>
    </row>
    <row r="602" spans="1:26" s="67" customFormat="1" ht="14.25" customHeight="1">
      <c r="A602" s="357" t="s">
        <v>37</v>
      </c>
      <c r="B602" s="360" t="s">
        <v>203</v>
      </c>
      <c r="C602" s="361" t="s">
        <v>2005</v>
      </c>
      <c r="D602" s="355"/>
      <c r="J602" s="67" t="s">
        <v>1443</v>
      </c>
      <c r="K602" s="354" t="s">
        <v>43</v>
      </c>
      <c r="L602" s="354" t="s">
        <v>771</v>
      </c>
      <c r="M602" s="67" t="s">
        <v>773</v>
      </c>
      <c r="P602" s="67" t="s">
        <v>756</v>
      </c>
      <c r="R602" s="364"/>
      <c r="S602" s="86"/>
      <c r="T602" s="91">
        <v>43298</v>
      </c>
      <c r="U602" s="87"/>
      <c r="X602" s="457"/>
      <c r="Y602" s="457"/>
      <c r="Z602" s="457"/>
    </row>
    <row r="603" spans="1:26" s="67" customFormat="1" ht="14.25" customHeight="1">
      <c r="A603" s="353" t="s">
        <v>37</v>
      </c>
      <c r="B603" s="353" t="s">
        <v>173</v>
      </c>
      <c r="C603" s="401" t="s">
        <v>2638</v>
      </c>
      <c r="D603" s="402" t="s">
        <v>2799</v>
      </c>
      <c r="E603" s="67" t="s">
        <v>2639</v>
      </c>
      <c r="F603" s="67">
        <v>0</v>
      </c>
      <c r="G603" s="67">
        <v>0</v>
      </c>
      <c r="I603" s="354" t="s">
        <v>2104</v>
      </c>
      <c r="J603" s="67" t="s">
        <v>43</v>
      </c>
      <c r="K603" s="67" t="s">
        <v>43</v>
      </c>
      <c r="L603" s="400" t="s">
        <v>771</v>
      </c>
      <c r="M603" s="67" t="s">
        <v>44</v>
      </c>
      <c r="N603" s="353">
        <v>25.415667500000001</v>
      </c>
      <c r="O603" s="353">
        <v>97.437782499999997</v>
      </c>
      <c r="P603" s="17" t="s">
        <v>756</v>
      </c>
      <c r="Q603" s="67" t="s">
        <v>2605</v>
      </c>
      <c r="R603" s="356"/>
      <c r="S603" s="462"/>
      <c r="T603" s="91">
        <v>43579</v>
      </c>
      <c r="U603" s="87"/>
      <c r="X603" s="457"/>
      <c r="Y603" s="457"/>
      <c r="Z603" s="457"/>
    </row>
    <row r="604" spans="1:26" s="67" customFormat="1" ht="14.25" customHeight="1">
      <c r="A604" s="353" t="s">
        <v>37</v>
      </c>
      <c r="B604" s="353" t="s">
        <v>173</v>
      </c>
      <c r="C604" s="353" t="s">
        <v>174</v>
      </c>
      <c r="D604" s="402" t="s">
        <v>2799</v>
      </c>
      <c r="E604" s="67" t="s">
        <v>1596</v>
      </c>
      <c r="F604" s="67">
        <v>0</v>
      </c>
      <c r="G604" s="67">
        <v>0</v>
      </c>
      <c r="H604" s="67" t="s">
        <v>41</v>
      </c>
      <c r="I604" s="67" t="s">
        <v>2641</v>
      </c>
      <c r="J604" s="67" t="s">
        <v>43</v>
      </c>
      <c r="K604" s="67" t="s">
        <v>43</v>
      </c>
      <c r="L604" s="67" t="s">
        <v>43</v>
      </c>
      <c r="M604" s="67" t="s">
        <v>773</v>
      </c>
      <c r="N604" s="67">
        <v>26.569633</v>
      </c>
      <c r="O604" s="67">
        <v>97.745480999999998</v>
      </c>
      <c r="P604" s="17" t="s">
        <v>756</v>
      </c>
      <c r="Q604" s="67" t="s">
        <v>757</v>
      </c>
      <c r="R604" s="356"/>
      <c r="S604" s="462"/>
      <c r="T604" s="91"/>
      <c r="U604" s="87"/>
      <c r="V604" s="67" t="s">
        <v>1066</v>
      </c>
      <c r="X604" s="457"/>
      <c r="Y604" s="457"/>
      <c r="Z604" s="457"/>
    </row>
    <row r="605" spans="1:26" s="67" customFormat="1" ht="14.25" customHeight="1">
      <c r="A605" s="353" t="s">
        <v>37</v>
      </c>
      <c r="B605" s="353" t="s">
        <v>173</v>
      </c>
      <c r="C605" s="353" t="s">
        <v>1119</v>
      </c>
      <c r="D605" s="402" t="s">
        <v>1635</v>
      </c>
      <c r="E605" s="353"/>
      <c r="F605" s="353"/>
      <c r="G605" s="353"/>
      <c r="H605" s="353"/>
      <c r="I605" s="353"/>
      <c r="J605" s="353" t="s">
        <v>43</v>
      </c>
      <c r="K605" s="353" t="s">
        <v>43</v>
      </c>
      <c r="L605" s="353" t="s">
        <v>1082</v>
      </c>
      <c r="M605" s="353" t="s">
        <v>44</v>
      </c>
      <c r="N605" s="353"/>
      <c r="O605" s="353"/>
      <c r="P605" s="67" t="s">
        <v>756</v>
      </c>
      <c r="Q605" s="353"/>
      <c r="R605" s="356"/>
      <c r="S605" s="357"/>
      <c r="T605" s="376"/>
      <c r="U605" s="358"/>
      <c r="V605" s="353" t="s">
        <v>1119</v>
      </c>
      <c r="X605" s="457"/>
      <c r="Y605" s="457"/>
      <c r="Z605" s="457"/>
    </row>
    <row r="606" spans="1:26" s="67" customFormat="1" ht="14.25" customHeight="1">
      <c r="A606" s="353" t="s">
        <v>37</v>
      </c>
      <c r="B606" s="354" t="s">
        <v>173</v>
      </c>
      <c r="C606" s="354" t="s">
        <v>176</v>
      </c>
      <c r="D606" s="402" t="s">
        <v>2799</v>
      </c>
      <c r="E606" s="67" t="s">
        <v>1595</v>
      </c>
      <c r="F606" s="67">
        <v>0</v>
      </c>
      <c r="G606" s="67">
        <v>0</v>
      </c>
      <c r="H606" s="67" t="s">
        <v>41</v>
      </c>
      <c r="I606" s="67" t="s">
        <v>2641</v>
      </c>
      <c r="J606" s="67" t="s">
        <v>43</v>
      </c>
      <c r="K606" s="67" t="s">
        <v>43</v>
      </c>
      <c r="L606" s="67" t="s">
        <v>43</v>
      </c>
      <c r="M606" s="67" t="s">
        <v>773</v>
      </c>
      <c r="N606" s="67">
        <v>26.548506</v>
      </c>
      <c r="O606" s="67">
        <v>97.75609</v>
      </c>
      <c r="P606" s="17" t="s">
        <v>756</v>
      </c>
      <c r="Q606" s="67" t="s">
        <v>757</v>
      </c>
      <c r="R606" s="356"/>
      <c r="S606" s="462"/>
      <c r="T606" s="91">
        <v>42788</v>
      </c>
      <c r="U606" s="87"/>
      <c r="W606" s="353"/>
      <c r="X606" s="457"/>
      <c r="Y606" s="457"/>
      <c r="Z606" s="457"/>
    </row>
    <row r="607" spans="1:26" s="67" customFormat="1" ht="14.25" customHeight="1">
      <c r="A607" s="353" t="s">
        <v>37</v>
      </c>
      <c r="B607" s="354" t="s">
        <v>173</v>
      </c>
      <c r="C607" s="354" t="s">
        <v>173</v>
      </c>
      <c r="D607" s="402" t="s">
        <v>2799</v>
      </c>
      <c r="E607" s="67" t="s">
        <v>1594</v>
      </c>
      <c r="F607" s="67" t="s">
        <v>1849</v>
      </c>
      <c r="G607" s="67">
        <v>0</v>
      </c>
      <c r="I607" s="354" t="s">
        <v>2104</v>
      </c>
      <c r="J607" s="67" t="s">
        <v>43</v>
      </c>
      <c r="K607" s="67" t="s">
        <v>43</v>
      </c>
      <c r="L607" s="67" t="s">
        <v>771</v>
      </c>
      <c r="M607" s="67" t="s">
        <v>44</v>
      </c>
      <c r="N607" s="67">
        <v>26.541930000000001</v>
      </c>
      <c r="O607" s="67">
        <v>97.568836000000005</v>
      </c>
      <c r="P607" s="67" t="s">
        <v>756</v>
      </c>
      <c r="Q607" s="67" t="s">
        <v>757</v>
      </c>
      <c r="R607" s="356"/>
      <c r="S607" s="462"/>
      <c r="T607" s="91"/>
      <c r="U607" s="87" t="s">
        <v>1065</v>
      </c>
      <c r="V607" s="67" t="s">
        <v>173</v>
      </c>
      <c r="X607" s="457"/>
      <c r="Y607" s="457"/>
      <c r="Z607" s="457"/>
    </row>
    <row r="608" spans="1:26" s="67" customFormat="1" ht="14.25" customHeight="1">
      <c r="A608" s="354" t="s">
        <v>37</v>
      </c>
      <c r="B608" s="354" t="s">
        <v>173</v>
      </c>
      <c r="C608" s="354" t="s">
        <v>1147</v>
      </c>
      <c r="D608" s="402" t="s">
        <v>1635</v>
      </c>
      <c r="E608" s="354"/>
      <c r="H608" s="354"/>
      <c r="I608" s="354"/>
      <c r="J608" s="354" t="s">
        <v>1443</v>
      </c>
      <c r="K608" s="354" t="s">
        <v>43</v>
      </c>
      <c r="L608" s="354" t="s">
        <v>755</v>
      </c>
      <c r="M608" s="354" t="s">
        <v>44</v>
      </c>
      <c r="N608" s="354"/>
      <c r="O608" s="354"/>
      <c r="P608" s="67" t="s">
        <v>756</v>
      </c>
      <c r="Q608" s="354" t="s">
        <v>757</v>
      </c>
      <c r="R608" s="360"/>
      <c r="S608" s="361"/>
      <c r="T608" s="377">
        <v>42788</v>
      </c>
      <c r="U608" s="362"/>
      <c r="W608" s="353"/>
      <c r="X608" s="457"/>
      <c r="Y608" s="457"/>
      <c r="Z608" s="457"/>
    </row>
    <row r="609" spans="1:26" s="67" customFormat="1" ht="14.25" customHeight="1">
      <c r="A609" s="361" t="s">
        <v>37</v>
      </c>
      <c r="B609" s="360" t="s">
        <v>1134</v>
      </c>
      <c r="C609" s="361" t="s">
        <v>1966</v>
      </c>
      <c r="D609" s="403"/>
      <c r="E609" s="354"/>
      <c r="F609" s="354"/>
      <c r="G609" s="354"/>
      <c r="H609" s="354"/>
      <c r="I609" s="354"/>
      <c r="J609" s="354" t="s">
        <v>1443</v>
      </c>
      <c r="K609" s="354" t="s">
        <v>43</v>
      </c>
      <c r="L609" s="354" t="s">
        <v>771</v>
      </c>
      <c r="M609" s="354"/>
      <c r="N609" s="354"/>
      <c r="O609" s="354"/>
      <c r="P609" s="354" t="s">
        <v>1964</v>
      </c>
      <c r="Q609" s="354" t="s">
        <v>1921</v>
      </c>
      <c r="R609" s="365"/>
      <c r="S609" s="361"/>
      <c r="T609" s="377">
        <v>43285</v>
      </c>
      <c r="U609" s="362" t="s">
        <v>1971</v>
      </c>
      <c r="V609" s="354"/>
      <c r="X609" s="457"/>
      <c r="Y609" s="457"/>
      <c r="Z609" s="457"/>
    </row>
    <row r="610" spans="1:26" s="67" customFormat="1" ht="14.25" customHeight="1">
      <c r="A610" s="361" t="s">
        <v>37</v>
      </c>
      <c r="B610" s="360" t="s">
        <v>1134</v>
      </c>
      <c r="C610" s="361" t="s">
        <v>1967</v>
      </c>
      <c r="D610" s="355"/>
      <c r="J610" s="67" t="s">
        <v>1443</v>
      </c>
      <c r="K610" s="354" t="s">
        <v>43</v>
      </c>
      <c r="L610" s="354" t="s">
        <v>771</v>
      </c>
      <c r="P610" s="67" t="s">
        <v>1964</v>
      </c>
      <c r="Q610" s="67" t="s">
        <v>1921</v>
      </c>
      <c r="R610" s="364"/>
      <c r="S610" s="357"/>
      <c r="T610" s="91">
        <v>43285</v>
      </c>
      <c r="U610" s="362" t="s">
        <v>1971</v>
      </c>
      <c r="W610" s="353"/>
      <c r="X610" s="457"/>
      <c r="Y610" s="457"/>
      <c r="Z610" s="457"/>
    </row>
    <row r="611" spans="1:26" s="67" customFormat="1" ht="14.25" customHeight="1">
      <c r="A611" s="353" t="s">
        <v>37</v>
      </c>
      <c r="B611" s="354" t="s">
        <v>1134</v>
      </c>
      <c r="C611" s="354" t="s">
        <v>2217</v>
      </c>
      <c r="D611" s="402" t="s">
        <v>2799</v>
      </c>
      <c r="E611" s="67" t="s">
        <v>1610</v>
      </c>
      <c r="F611" s="67" t="s">
        <v>1134</v>
      </c>
      <c r="G611" s="67">
        <v>0</v>
      </c>
      <c r="H611" s="67" t="s">
        <v>41</v>
      </c>
      <c r="I611" s="67" t="s">
        <v>1308</v>
      </c>
      <c r="J611" s="67" t="s">
        <v>43</v>
      </c>
      <c r="K611" s="67" t="s">
        <v>43</v>
      </c>
      <c r="L611" s="354" t="s">
        <v>43</v>
      </c>
      <c r="M611" s="67" t="s">
        <v>44</v>
      </c>
      <c r="N611" s="353">
        <v>0</v>
      </c>
      <c r="O611" s="353">
        <v>0</v>
      </c>
      <c r="P611" s="67" t="s">
        <v>756</v>
      </c>
      <c r="Q611" s="67" t="s">
        <v>921</v>
      </c>
      <c r="R611" s="356"/>
      <c r="S611" s="462"/>
      <c r="T611" s="91">
        <v>43444</v>
      </c>
      <c r="U611" s="169" t="s">
        <v>2216</v>
      </c>
      <c r="V611" s="67" t="s">
        <v>1138</v>
      </c>
      <c r="W611" s="348" t="s">
        <v>2216</v>
      </c>
      <c r="X611" s="457"/>
      <c r="Y611" s="457"/>
      <c r="Z611" s="457"/>
    </row>
    <row r="612" spans="1:26" s="67" customFormat="1" ht="14.25" customHeight="1">
      <c r="A612" s="353" t="s">
        <v>37</v>
      </c>
      <c r="B612" s="354" t="s">
        <v>1134</v>
      </c>
      <c r="C612" s="354" t="s">
        <v>1958</v>
      </c>
      <c r="D612" s="402" t="s">
        <v>2219</v>
      </c>
      <c r="E612" s="67" t="s">
        <v>1607</v>
      </c>
      <c r="F612" s="67" t="s">
        <v>1134</v>
      </c>
      <c r="G612" s="67">
        <v>0</v>
      </c>
      <c r="I612" s="67" t="s">
        <v>2104</v>
      </c>
      <c r="J612" s="67" t="s">
        <v>43</v>
      </c>
      <c r="K612" s="67" t="s">
        <v>43</v>
      </c>
      <c r="L612" s="67" t="s">
        <v>755</v>
      </c>
      <c r="M612" s="67" t="s">
        <v>44</v>
      </c>
      <c r="P612" s="67" t="s">
        <v>756</v>
      </c>
      <c r="Q612" s="67" t="s">
        <v>921</v>
      </c>
      <c r="R612" s="356"/>
      <c r="S612" s="462"/>
      <c r="T612" s="91">
        <v>43444</v>
      </c>
      <c r="U612" s="87" t="s">
        <v>2643</v>
      </c>
      <c r="W612" s="353" t="s">
        <v>2218</v>
      </c>
      <c r="X612" s="457"/>
      <c r="Y612" s="457"/>
      <c r="Z612" s="457"/>
    </row>
    <row r="613" spans="1:26" s="67" customFormat="1" ht="14.25" customHeight="1">
      <c r="A613" s="353" t="s">
        <v>37</v>
      </c>
      <c r="B613" s="354" t="s">
        <v>1134</v>
      </c>
      <c r="C613" s="354" t="s">
        <v>1136</v>
      </c>
      <c r="D613" s="402" t="s">
        <v>2799</v>
      </c>
      <c r="E613" s="67" t="s">
        <v>1608</v>
      </c>
      <c r="F613" s="67" t="s">
        <v>1134</v>
      </c>
      <c r="G613" s="67">
        <v>0</v>
      </c>
      <c r="H613" s="67" t="s">
        <v>41</v>
      </c>
      <c r="I613" s="67" t="s">
        <v>1308</v>
      </c>
      <c r="J613" s="67" t="s">
        <v>43</v>
      </c>
      <c r="K613" s="353" t="s">
        <v>43</v>
      </c>
      <c r="L613" s="354" t="s">
        <v>43</v>
      </c>
      <c r="M613" s="67" t="s">
        <v>44</v>
      </c>
      <c r="N613" s="67">
        <v>0</v>
      </c>
      <c r="O613" s="67">
        <v>0</v>
      </c>
      <c r="P613" s="67" t="s">
        <v>756</v>
      </c>
      <c r="Q613" s="67" t="s">
        <v>921</v>
      </c>
      <c r="R613" s="356"/>
      <c r="S613" s="462"/>
      <c r="T613" s="91">
        <v>42983</v>
      </c>
      <c r="U613" s="87" t="s">
        <v>1135</v>
      </c>
      <c r="W613" s="348" t="s">
        <v>2248</v>
      </c>
      <c r="X613" s="457"/>
      <c r="Y613" s="457"/>
      <c r="Z613" s="457"/>
    </row>
    <row r="614" spans="1:26" s="67" customFormat="1" ht="14.25" customHeight="1">
      <c r="A614" s="353" t="s">
        <v>37</v>
      </c>
      <c r="B614" s="354" t="s">
        <v>1134</v>
      </c>
      <c r="C614" s="354" t="s">
        <v>2100</v>
      </c>
      <c r="D614" s="402" t="s">
        <v>2799</v>
      </c>
      <c r="E614" s="67" t="s">
        <v>1609</v>
      </c>
      <c r="F614" s="67" t="s">
        <v>1134</v>
      </c>
      <c r="G614" s="67">
        <v>0</v>
      </c>
      <c r="H614" s="67" t="s">
        <v>41</v>
      </c>
      <c r="I614" s="67" t="s">
        <v>2641</v>
      </c>
      <c r="J614" s="67" t="s">
        <v>43</v>
      </c>
      <c r="K614" s="67" t="s">
        <v>43</v>
      </c>
      <c r="L614" s="67" t="s">
        <v>43</v>
      </c>
      <c r="M614" s="67" t="s">
        <v>44</v>
      </c>
      <c r="N614" s="67">
        <v>0</v>
      </c>
      <c r="O614" s="67">
        <v>0</v>
      </c>
      <c r="P614" s="67" t="s">
        <v>756</v>
      </c>
      <c r="Q614" s="67" t="s">
        <v>921</v>
      </c>
      <c r="R614" s="356"/>
      <c r="S614" s="462"/>
      <c r="T614" s="91">
        <v>42983</v>
      </c>
      <c r="U614" s="87" t="s">
        <v>1137</v>
      </c>
      <c r="W614" s="348" t="s">
        <v>2249</v>
      </c>
      <c r="X614" s="457"/>
      <c r="Y614" s="457"/>
      <c r="Z614" s="457"/>
    </row>
    <row r="615" spans="1:26" s="67" customFormat="1" ht="14.25" customHeight="1">
      <c r="A615" s="361" t="s">
        <v>37</v>
      </c>
      <c r="B615" s="360" t="s">
        <v>1134</v>
      </c>
      <c r="C615" s="354" t="s">
        <v>1930</v>
      </c>
      <c r="D615" s="355"/>
      <c r="J615" s="67" t="s">
        <v>1443</v>
      </c>
      <c r="K615" s="67" t="s">
        <v>43</v>
      </c>
      <c r="L615" s="67" t="s">
        <v>43</v>
      </c>
      <c r="M615" s="67" t="s">
        <v>44</v>
      </c>
      <c r="P615" s="67" t="s">
        <v>756</v>
      </c>
      <c r="Q615" s="67" t="s">
        <v>1921</v>
      </c>
      <c r="R615" s="364"/>
      <c r="S615" s="86"/>
      <c r="T615" s="91">
        <v>43270</v>
      </c>
      <c r="U615" s="87"/>
      <c r="W615" s="353"/>
      <c r="X615" s="457"/>
      <c r="Y615" s="457"/>
      <c r="Z615" s="457"/>
    </row>
    <row r="616" spans="1:26" s="67" customFormat="1" ht="14.25" customHeight="1">
      <c r="A616" s="353" t="s">
        <v>37</v>
      </c>
      <c r="B616" s="353" t="s">
        <v>131</v>
      </c>
      <c r="C616" s="353" t="s">
        <v>225</v>
      </c>
      <c r="D616" s="402" t="s">
        <v>2799</v>
      </c>
      <c r="E616" s="353" t="s">
        <v>1509</v>
      </c>
      <c r="F616" s="353" t="s">
        <v>1783</v>
      </c>
      <c r="G616" s="353" t="s">
        <v>1781</v>
      </c>
      <c r="H616" s="353" t="s">
        <v>41</v>
      </c>
      <c r="I616" s="353" t="s">
        <v>1308</v>
      </c>
      <c r="J616" s="353" t="s">
        <v>43</v>
      </c>
      <c r="K616" s="353" t="s">
        <v>43</v>
      </c>
      <c r="L616" s="353" t="s">
        <v>43</v>
      </c>
      <c r="M616" s="353" t="s">
        <v>773</v>
      </c>
      <c r="N616" s="353">
        <v>25.220278</v>
      </c>
      <c r="O616" s="353">
        <v>97.915833000000006</v>
      </c>
      <c r="P616" s="353" t="s">
        <v>756</v>
      </c>
      <c r="Q616" s="353" t="s">
        <v>775</v>
      </c>
      <c r="R616" s="356"/>
      <c r="S616" s="462"/>
      <c r="T616" s="376"/>
      <c r="U616" s="358"/>
      <c r="V616" s="353" t="s">
        <v>225</v>
      </c>
      <c r="W616" s="353"/>
      <c r="X616" s="457"/>
      <c r="Y616" s="457"/>
      <c r="Z616" s="457"/>
    </row>
    <row r="617" spans="1:26" s="67" customFormat="1" ht="14.25" customHeight="1">
      <c r="A617" s="353" t="s">
        <v>37</v>
      </c>
      <c r="B617" s="353" t="s">
        <v>131</v>
      </c>
      <c r="C617" s="353" t="s">
        <v>208</v>
      </c>
      <c r="D617" s="402" t="s">
        <v>1635</v>
      </c>
      <c r="J617" s="67" t="s">
        <v>1443</v>
      </c>
      <c r="K617" s="67" t="s">
        <v>43</v>
      </c>
      <c r="L617" s="67" t="s">
        <v>1022</v>
      </c>
      <c r="M617" s="67" t="s">
        <v>773</v>
      </c>
      <c r="N617" s="353"/>
      <c r="O617" s="353"/>
      <c r="P617" s="67" t="s">
        <v>756</v>
      </c>
      <c r="Q617" s="67" t="s">
        <v>775</v>
      </c>
      <c r="R617" s="356"/>
      <c r="S617" s="86"/>
      <c r="T617" s="91"/>
      <c r="U617" s="87" t="s">
        <v>1090</v>
      </c>
      <c r="V617" s="67" t="s">
        <v>208</v>
      </c>
      <c r="W617" s="353"/>
      <c r="X617" s="457"/>
      <c r="Y617" s="457"/>
      <c r="Z617" s="457"/>
    </row>
    <row r="618" spans="1:26" s="67" customFormat="1" ht="14.25" customHeight="1">
      <c r="A618" s="353" t="s">
        <v>37</v>
      </c>
      <c r="B618" s="353" t="s">
        <v>131</v>
      </c>
      <c r="C618" s="353" t="s">
        <v>209</v>
      </c>
      <c r="D618" s="402" t="s">
        <v>1635</v>
      </c>
      <c r="F618" s="353"/>
      <c r="J618" s="67" t="s">
        <v>1443</v>
      </c>
      <c r="K618" s="353" t="s">
        <v>43</v>
      </c>
      <c r="L618" s="353" t="s">
        <v>1022</v>
      </c>
      <c r="M618" s="67" t="s">
        <v>773</v>
      </c>
      <c r="P618" s="67" t="s">
        <v>756</v>
      </c>
      <c r="Q618" s="67" t="s">
        <v>775</v>
      </c>
      <c r="R618" s="85"/>
      <c r="S618" s="357"/>
      <c r="T618" s="91"/>
      <c r="U618" s="87" t="s">
        <v>1090</v>
      </c>
      <c r="V618" s="67" t="s">
        <v>209</v>
      </c>
      <c r="W618" s="353"/>
      <c r="X618" s="457"/>
      <c r="Y618" s="457"/>
      <c r="Z618" s="457"/>
    </row>
    <row r="619" spans="1:26" s="67" customFormat="1" ht="14.25" customHeight="1">
      <c r="A619" s="353" t="s">
        <v>37</v>
      </c>
      <c r="B619" s="353" t="s">
        <v>131</v>
      </c>
      <c r="C619" s="353" t="s">
        <v>1038</v>
      </c>
      <c r="D619" s="402" t="s">
        <v>2799</v>
      </c>
      <c r="E619" s="67" t="s">
        <v>1516</v>
      </c>
      <c r="F619" s="67" t="s">
        <v>1847</v>
      </c>
      <c r="G619" s="67" t="s">
        <v>1848</v>
      </c>
      <c r="I619" s="354" t="s">
        <v>2104</v>
      </c>
      <c r="J619" s="67" t="s">
        <v>43</v>
      </c>
      <c r="K619" s="67" t="s">
        <v>43</v>
      </c>
      <c r="L619" s="67" t="s">
        <v>771</v>
      </c>
      <c r="M619" s="67" t="s">
        <v>44</v>
      </c>
      <c r="N619" s="67">
        <v>25.305008999999998</v>
      </c>
      <c r="O619" s="67">
        <v>97.430321000000006</v>
      </c>
      <c r="P619" s="67" t="s">
        <v>756</v>
      </c>
      <c r="Q619" s="67" t="s">
        <v>797</v>
      </c>
      <c r="R619" s="356"/>
      <c r="S619" s="462"/>
      <c r="T619" s="91">
        <v>42916</v>
      </c>
      <c r="U619" s="87" t="s">
        <v>1039</v>
      </c>
      <c r="W619" s="353"/>
      <c r="X619" s="457"/>
      <c r="Y619" s="457"/>
      <c r="Z619" s="457"/>
    </row>
    <row r="620" spans="1:26" s="67" customFormat="1" ht="14.25" customHeight="1">
      <c r="A620" s="353" t="s">
        <v>37</v>
      </c>
      <c r="B620" s="353" t="s">
        <v>131</v>
      </c>
      <c r="C620" s="353" t="s">
        <v>257</v>
      </c>
      <c r="D620" s="402" t="s">
        <v>2799</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6"/>
      <c r="S620" s="462"/>
      <c r="T620" s="91"/>
      <c r="U620" s="87"/>
      <c r="V620" s="67" t="s">
        <v>257</v>
      </c>
      <c r="X620" s="457"/>
      <c r="Y620" s="457"/>
      <c r="Z620" s="457"/>
    </row>
    <row r="621" spans="1:26" s="67" customFormat="1" ht="14.25" customHeight="1">
      <c r="A621" s="353" t="s">
        <v>37</v>
      </c>
      <c r="B621" s="353" t="s">
        <v>131</v>
      </c>
      <c r="C621" s="353" t="s">
        <v>164</v>
      </c>
      <c r="D621" s="402" t="s">
        <v>2799</v>
      </c>
      <c r="E621" s="67" t="s">
        <v>1508</v>
      </c>
      <c r="F621" s="67" t="s">
        <v>1781</v>
      </c>
      <c r="G621" s="67" t="s">
        <v>1782</v>
      </c>
      <c r="H621" s="67" t="s">
        <v>41</v>
      </c>
      <c r="I621" s="67" t="s">
        <v>2641</v>
      </c>
      <c r="J621" s="67" t="s">
        <v>43</v>
      </c>
      <c r="K621" s="67" t="s">
        <v>43</v>
      </c>
      <c r="L621" s="67" t="s">
        <v>43</v>
      </c>
      <c r="M621" s="67" t="s">
        <v>773</v>
      </c>
      <c r="N621" s="353">
        <v>25.200333000000001</v>
      </c>
      <c r="O621" s="353">
        <v>97.807182999999995</v>
      </c>
      <c r="P621" s="67" t="s">
        <v>756</v>
      </c>
      <c r="Q621" s="67" t="s">
        <v>775</v>
      </c>
      <c r="R621" s="356"/>
      <c r="S621" s="462"/>
      <c r="T621" s="91"/>
      <c r="U621" s="87"/>
      <c r="V621" s="67" t="s">
        <v>164</v>
      </c>
      <c r="W621" s="353"/>
      <c r="X621" s="457"/>
      <c r="Y621" s="457"/>
      <c r="Z621" s="457"/>
    </row>
    <row r="622" spans="1:26" s="67" customFormat="1" ht="14.25" customHeight="1">
      <c r="A622" s="353" t="s">
        <v>37</v>
      </c>
      <c r="B622" s="353" t="s">
        <v>131</v>
      </c>
      <c r="C622" s="353" t="s">
        <v>213</v>
      </c>
      <c r="D622" s="402" t="s">
        <v>2799</v>
      </c>
      <c r="E622" s="67" t="s">
        <v>1496</v>
      </c>
      <c r="F622" s="353" t="s">
        <v>1688</v>
      </c>
      <c r="G622" s="67">
        <v>0</v>
      </c>
      <c r="I622" s="354" t="s">
        <v>2104</v>
      </c>
      <c r="J622" s="67" t="s">
        <v>43</v>
      </c>
      <c r="K622" s="67" t="s">
        <v>43</v>
      </c>
      <c r="L622" s="67" t="s">
        <v>1022</v>
      </c>
      <c r="M622" s="67" t="s">
        <v>773</v>
      </c>
      <c r="N622" s="353">
        <v>24.752471</v>
      </c>
      <c r="O622" s="353">
        <v>97.541793999999996</v>
      </c>
      <c r="P622" s="67" t="s">
        <v>756</v>
      </c>
      <c r="Q622" s="67" t="s">
        <v>757</v>
      </c>
      <c r="R622" s="85"/>
      <c r="S622" s="462"/>
      <c r="T622" s="91"/>
      <c r="U622" s="87"/>
      <c r="V622" s="67" t="s">
        <v>213</v>
      </c>
      <c r="W622" s="353"/>
      <c r="X622" s="457"/>
      <c r="Y622" s="457"/>
      <c r="Z622" s="457"/>
    </row>
    <row r="623" spans="1:26" s="67" customFormat="1" ht="14.25" customHeight="1">
      <c r="A623" s="353" t="s">
        <v>37</v>
      </c>
      <c r="B623" s="353" t="s">
        <v>131</v>
      </c>
      <c r="C623" s="353" t="s">
        <v>1020</v>
      </c>
      <c r="D623" s="402" t="s">
        <v>1636</v>
      </c>
      <c r="E623" s="67" t="s">
        <v>1495</v>
      </c>
      <c r="F623" s="67" t="s">
        <v>1688</v>
      </c>
      <c r="G623" s="67" t="s">
        <v>1688</v>
      </c>
      <c r="H623" s="67" t="s">
        <v>41</v>
      </c>
      <c r="I623" s="67" t="s">
        <v>1308</v>
      </c>
      <c r="J623" s="67" t="s">
        <v>43</v>
      </c>
      <c r="K623" s="67" t="s">
        <v>43</v>
      </c>
      <c r="L623" s="67" t="s">
        <v>755</v>
      </c>
      <c r="M623" s="67" t="s">
        <v>773</v>
      </c>
      <c r="N623" s="353">
        <v>24.747212999999999</v>
      </c>
      <c r="O623" s="353">
        <v>97.551507000000001</v>
      </c>
      <c r="P623" s="67" t="s">
        <v>756</v>
      </c>
      <c r="R623" s="85"/>
      <c r="S623" s="86"/>
      <c r="T623" s="91"/>
      <c r="U623" s="87"/>
      <c r="V623" s="353" t="s">
        <v>1021</v>
      </c>
      <c r="W623" s="348" t="s">
        <v>2150</v>
      </c>
      <c r="X623" s="457"/>
      <c r="Y623" s="457"/>
      <c r="Z623" s="457"/>
    </row>
    <row r="624" spans="1:26" s="67" customFormat="1" ht="14.25" customHeight="1">
      <c r="A624" s="353" t="s">
        <v>37</v>
      </c>
      <c r="B624" s="353" t="s">
        <v>131</v>
      </c>
      <c r="C624" s="353" t="s">
        <v>1034</v>
      </c>
      <c r="D624" s="402" t="s">
        <v>1635</v>
      </c>
      <c r="E624" s="353" t="s">
        <v>1507</v>
      </c>
      <c r="F624" s="353"/>
      <c r="G624" s="353"/>
      <c r="H624" s="353"/>
      <c r="I624" s="353"/>
      <c r="J624" s="67" t="s">
        <v>43</v>
      </c>
      <c r="K624" s="67" t="s">
        <v>43</v>
      </c>
      <c r="L624" s="67" t="s">
        <v>755</v>
      </c>
      <c r="M624" s="353" t="s">
        <v>773</v>
      </c>
      <c r="N624" s="353">
        <v>25.108011999999999</v>
      </c>
      <c r="O624" s="353">
        <v>97.718008999999995</v>
      </c>
      <c r="P624" s="67" t="s">
        <v>756</v>
      </c>
      <c r="Q624" s="353"/>
      <c r="R624" s="356"/>
      <c r="S624" s="357"/>
      <c r="T624" s="376"/>
      <c r="U624" s="358"/>
      <c r="V624" s="353" t="s">
        <v>1034</v>
      </c>
      <c r="X624" s="457"/>
      <c r="Y624" s="457"/>
      <c r="Z624" s="457"/>
    </row>
    <row r="625" spans="1:26" s="67" customFormat="1" ht="14.25" customHeight="1">
      <c r="A625" s="353" t="s">
        <v>37</v>
      </c>
      <c r="B625" s="353" t="s">
        <v>131</v>
      </c>
      <c r="C625" s="353" t="s">
        <v>165</v>
      </c>
      <c r="D625" s="402" t="s">
        <v>2799</v>
      </c>
      <c r="E625" s="353" t="s">
        <v>1528</v>
      </c>
      <c r="F625" s="353" t="s">
        <v>1793</v>
      </c>
      <c r="G625" s="353" t="s">
        <v>1794</v>
      </c>
      <c r="H625" s="353" t="s">
        <v>41</v>
      </c>
      <c r="I625" s="353" t="s">
        <v>2641</v>
      </c>
      <c r="J625" s="353" t="s">
        <v>43</v>
      </c>
      <c r="K625" s="353" t="s">
        <v>43</v>
      </c>
      <c r="L625" s="353" t="s">
        <v>43</v>
      </c>
      <c r="M625" s="353" t="s">
        <v>44</v>
      </c>
      <c r="N625" s="353">
        <v>25.356632000000001</v>
      </c>
      <c r="O625" s="353">
        <v>97.451965000000001</v>
      </c>
      <c r="P625" s="353" t="s">
        <v>756</v>
      </c>
      <c r="Q625" s="353" t="s">
        <v>775</v>
      </c>
      <c r="R625" s="356"/>
      <c r="S625" s="462"/>
      <c r="T625" s="376"/>
      <c r="U625" s="358"/>
      <c r="V625" s="353" t="s">
        <v>165</v>
      </c>
      <c r="W625" s="353"/>
      <c r="X625" s="457"/>
      <c r="Y625" s="457"/>
      <c r="Z625" s="457"/>
    </row>
    <row r="626" spans="1:26" s="67" customFormat="1" ht="14.25" customHeight="1">
      <c r="A626" s="353" t="s">
        <v>37</v>
      </c>
      <c r="B626" s="353" t="s">
        <v>131</v>
      </c>
      <c r="C626" s="353" t="s">
        <v>166</v>
      </c>
      <c r="D626" s="402" t="s">
        <v>2799</v>
      </c>
      <c r="E626" s="67" t="s">
        <v>1502</v>
      </c>
      <c r="F626" s="67" t="s">
        <v>1778</v>
      </c>
      <c r="G626" s="67" t="s">
        <v>1780</v>
      </c>
      <c r="H626" s="67" t="s">
        <v>41</v>
      </c>
      <c r="I626" s="67" t="s">
        <v>1308</v>
      </c>
      <c r="J626" s="67" t="s">
        <v>43</v>
      </c>
      <c r="K626" s="353" t="s">
        <v>963</v>
      </c>
      <c r="L626" s="353" t="s">
        <v>43</v>
      </c>
      <c r="M626" s="67" t="s">
        <v>773</v>
      </c>
      <c r="N626" s="353">
        <v>24.980250000000002</v>
      </c>
      <c r="O626" s="353">
        <v>97.715230000000005</v>
      </c>
      <c r="P626" s="17" t="s">
        <v>756</v>
      </c>
      <c r="Q626" s="67" t="s">
        <v>775</v>
      </c>
      <c r="R626" s="85"/>
      <c r="S626" s="462"/>
      <c r="T626" s="91"/>
      <c r="U626" s="87" t="s">
        <v>1027</v>
      </c>
      <c r="V626" s="67" t="s">
        <v>166</v>
      </c>
      <c r="X626" s="457"/>
      <c r="Y626" s="457"/>
      <c r="Z626" s="457"/>
    </row>
    <row r="627" spans="1:26" s="67" customFormat="1" ht="14.25" customHeight="1">
      <c r="A627" s="353" t="s">
        <v>37</v>
      </c>
      <c r="B627" s="353" t="s">
        <v>131</v>
      </c>
      <c r="C627" s="353" t="s">
        <v>258</v>
      </c>
      <c r="D627" s="402" t="s">
        <v>2799</v>
      </c>
      <c r="E627" s="67" t="s">
        <v>1554</v>
      </c>
      <c r="F627" s="67" t="s">
        <v>1801</v>
      </c>
      <c r="G627" s="67" t="s">
        <v>1801</v>
      </c>
      <c r="H627" s="67" t="s">
        <v>41</v>
      </c>
      <c r="I627" s="67" t="s">
        <v>231</v>
      </c>
      <c r="J627" s="67" t="s">
        <v>43</v>
      </c>
      <c r="K627" s="353" t="s">
        <v>43</v>
      </c>
      <c r="L627" s="353" t="s">
        <v>43</v>
      </c>
      <c r="M627" s="67" t="s">
        <v>44</v>
      </c>
      <c r="N627" s="353">
        <v>25.424529444444399</v>
      </c>
      <c r="O627" s="353">
        <v>97.433419259259296</v>
      </c>
      <c r="P627" s="353" t="s">
        <v>756</v>
      </c>
      <c r="Q627" s="67" t="s">
        <v>775</v>
      </c>
      <c r="R627" s="85"/>
      <c r="S627" s="462"/>
      <c r="T627" s="91"/>
      <c r="U627" s="87"/>
      <c r="V627" s="67" t="s">
        <v>258</v>
      </c>
      <c r="W627" s="353"/>
      <c r="X627" s="457"/>
      <c r="Y627" s="457"/>
      <c r="Z627" s="457"/>
    </row>
    <row r="628" spans="1:26" s="67" customFormat="1" ht="14.25" customHeight="1">
      <c r="A628" s="353" t="s">
        <v>37</v>
      </c>
      <c r="B628" s="353" t="s">
        <v>131</v>
      </c>
      <c r="C628" s="353" t="s">
        <v>226</v>
      </c>
      <c r="D628" s="402" t="s">
        <v>2799</v>
      </c>
      <c r="E628" s="359" t="s">
        <v>1548</v>
      </c>
      <c r="F628" s="353" t="s">
        <v>1801</v>
      </c>
      <c r="G628" s="67" t="s">
        <v>1801</v>
      </c>
      <c r="H628" s="67" t="s">
        <v>41</v>
      </c>
      <c r="I628" s="67" t="s">
        <v>1308</v>
      </c>
      <c r="J628" s="67" t="s">
        <v>43</v>
      </c>
      <c r="K628" s="67" t="s">
        <v>43</v>
      </c>
      <c r="L628" s="67" t="s">
        <v>43</v>
      </c>
      <c r="M628" s="67" t="s">
        <v>44</v>
      </c>
      <c r="N628" s="353">
        <v>25.415667500000001</v>
      </c>
      <c r="O628" s="353">
        <v>97.437782499999997</v>
      </c>
      <c r="P628" s="67" t="s">
        <v>756</v>
      </c>
      <c r="Q628" s="67" t="s">
        <v>775</v>
      </c>
      <c r="R628" s="356"/>
      <c r="S628" s="462"/>
      <c r="T628" s="91"/>
      <c r="U628" s="87"/>
      <c r="V628" s="67" t="s">
        <v>226</v>
      </c>
      <c r="X628" s="457"/>
      <c r="Y628" s="457"/>
      <c r="Z628" s="457"/>
    </row>
    <row r="629" spans="1:26" s="67" customFormat="1" ht="14.25" customHeight="1">
      <c r="A629" s="353" t="s">
        <v>37</v>
      </c>
      <c r="B629" s="353" t="s">
        <v>131</v>
      </c>
      <c r="C629" s="353" t="s">
        <v>167</v>
      </c>
      <c r="D629" s="402" t="s">
        <v>2799</v>
      </c>
      <c r="E629" s="67" t="s">
        <v>1545</v>
      </c>
      <c r="F629" s="67" t="s">
        <v>1801</v>
      </c>
      <c r="G629" s="67" t="s">
        <v>1801</v>
      </c>
      <c r="H629" s="67" t="s">
        <v>41</v>
      </c>
      <c r="I629" s="67" t="s">
        <v>2641</v>
      </c>
      <c r="J629" s="67" t="s">
        <v>43</v>
      </c>
      <c r="K629" s="67" t="s">
        <v>43</v>
      </c>
      <c r="L629" s="67" t="s">
        <v>43</v>
      </c>
      <c r="M629" s="67" t="s">
        <v>44</v>
      </c>
      <c r="N629" s="353">
        <v>25.4118005797101</v>
      </c>
      <c r="O629" s="353">
        <v>97.434855869565197</v>
      </c>
      <c r="P629" s="67" t="s">
        <v>756</v>
      </c>
      <c r="Q629" s="67" t="s">
        <v>775</v>
      </c>
      <c r="R629" s="85"/>
      <c r="S629" s="462"/>
      <c r="T629" s="91"/>
      <c r="U629" s="87"/>
      <c r="V629" s="353" t="s">
        <v>167</v>
      </c>
      <c r="W629" s="348" t="s">
        <v>2250</v>
      </c>
      <c r="X629" s="457"/>
      <c r="Y629" s="457"/>
      <c r="Z629" s="457"/>
    </row>
    <row r="630" spans="1:26" s="67" customFormat="1" ht="14.25" customHeight="1">
      <c r="A630" s="353" t="s">
        <v>37</v>
      </c>
      <c r="B630" s="353" t="s">
        <v>131</v>
      </c>
      <c r="C630" s="67" t="s">
        <v>168</v>
      </c>
      <c r="D630" s="402" t="s">
        <v>2799</v>
      </c>
      <c r="E630" s="67" t="s">
        <v>1543</v>
      </c>
      <c r="F630" s="67" t="s">
        <v>1801</v>
      </c>
      <c r="G630" s="67" t="s">
        <v>1801</v>
      </c>
      <c r="H630" s="67" t="s">
        <v>41</v>
      </c>
      <c r="I630" s="67" t="s">
        <v>2641</v>
      </c>
      <c r="J630" s="67" t="s">
        <v>43</v>
      </c>
      <c r="K630" s="67" t="s">
        <v>43</v>
      </c>
      <c r="L630" s="67" t="s">
        <v>43</v>
      </c>
      <c r="M630" s="67" t="s">
        <v>44</v>
      </c>
      <c r="N630" s="353">
        <v>25.409612685185198</v>
      </c>
      <c r="O630" s="353">
        <v>97.426536944444507</v>
      </c>
      <c r="P630" s="67" t="s">
        <v>756</v>
      </c>
      <c r="Q630" s="67" t="s">
        <v>775</v>
      </c>
      <c r="R630" s="85"/>
      <c r="S630" s="462"/>
      <c r="T630" s="91"/>
      <c r="U630" s="87"/>
      <c r="V630" s="67" t="s">
        <v>168</v>
      </c>
      <c r="W630" s="348" t="s">
        <v>2251</v>
      </c>
      <c r="X630" s="457"/>
      <c r="Y630" s="457"/>
      <c r="Z630" s="457"/>
    </row>
    <row r="631" spans="1:26" s="67" customFormat="1" ht="14.25" customHeight="1">
      <c r="A631" s="353" t="s">
        <v>37</v>
      </c>
      <c r="B631" s="353" t="s">
        <v>131</v>
      </c>
      <c r="C631" s="353" t="s">
        <v>259</v>
      </c>
      <c r="D631" s="402" t="s">
        <v>2799</v>
      </c>
      <c r="E631" s="67" t="s">
        <v>1525</v>
      </c>
      <c r="F631" s="353" t="s">
        <v>1791</v>
      </c>
      <c r="G631" s="67" t="s">
        <v>1792</v>
      </c>
      <c r="H631" s="67" t="s">
        <v>41</v>
      </c>
      <c r="I631" s="67" t="s">
        <v>231</v>
      </c>
      <c r="J631" s="353" t="s">
        <v>43</v>
      </c>
      <c r="K631" s="353" t="s">
        <v>43</v>
      </c>
      <c r="L631" s="353" t="s">
        <v>43</v>
      </c>
      <c r="M631" s="67" t="s">
        <v>44</v>
      </c>
      <c r="N631" s="353">
        <v>25.351965</v>
      </c>
      <c r="O631" s="353">
        <v>97.345039</v>
      </c>
      <c r="P631" s="67" t="s">
        <v>756</v>
      </c>
      <c r="Q631" s="67" t="s">
        <v>775</v>
      </c>
      <c r="R631" s="356"/>
      <c r="S631" s="462"/>
      <c r="T631" s="91"/>
      <c r="U631" s="87"/>
      <c r="V631" s="67" t="s">
        <v>259</v>
      </c>
      <c r="X631" s="457"/>
      <c r="Y631" s="457"/>
      <c r="Z631" s="457"/>
    </row>
    <row r="632" spans="1:26" s="67" customFormat="1" ht="14.25" customHeight="1">
      <c r="A632" s="353" t="s">
        <v>37</v>
      </c>
      <c r="B632" s="353" t="s">
        <v>131</v>
      </c>
      <c r="C632" s="353" t="s">
        <v>169</v>
      </c>
      <c r="D632" s="402" t="s">
        <v>2799</v>
      </c>
      <c r="E632" s="67" t="s">
        <v>1501</v>
      </c>
      <c r="F632" s="67" t="s">
        <v>1778</v>
      </c>
      <c r="G632" s="67" t="s">
        <v>1779</v>
      </c>
      <c r="H632" s="67" t="s">
        <v>41</v>
      </c>
      <c r="I632" s="67" t="s">
        <v>2641</v>
      </c>
      <c r="J632" s="67" t="s">
        <v>43</v>
      </c>
      <c r="K632" s="67" t="s">
        <v>963</v>
      </c>
      <c r="L632" s="67" t="s">
        <v>43</v>
      </c>
      <c r="M632" s="67" t="s">
        <v>773</v>
      </c>
      <c r="N632" s="353">
        <v>24.831944</v>
      </c>
      <c r="O632" s="353">
        <v>97.751389000000003</v>
      </c>
      <c r="P632" s="67" t="s">
        <v>756</v>
      </c>
      <c r="Q632" s="67" t="s">
        <v>775</v>
      </c>
      <c r="R632" s="85"/>
      <c r="S632" s="462"/>
      <c r="T632" s="91"/>
      <c r="U632" s="87" t="s">
        <v>1027</v>
      </c>
      <c r="V632" s="67" t="s">
        <v>1028</v>
      </c>
      <c r="X632" s="457"/>
      <c r="Y632" s="457"/>
      <c r="Z632" s="457"/>
    </row>
    <row r="633" spans="1:26" s="67" customFormat="1" ht="14.25" customHeight="1">
      <c r="A633" s="353" t="s">
        <v>37</v>
      </c>
      <c r="B633" s="353" t="s">
        <v>131</v>
      </c>
      <c r="C633" s="353" t="s">
        <v>227</v>
      </c>
      <c r="D633" s="402" t="s">
        <v>2799</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6"/>
      <c r="S633" s="462"/>
      <c r="T633" s="91"/>
      <c r="U633" s="87"/>
      <c r="V633" s="67" t="s">
        <v>227</v>
      </c>
      <c r="X633" s="457"/>
      <c r="Y633" s="457"/>
      <c r="Z633" s="457"/>
    </row>
    <row r="634" spans="1:26" s="67" customFormat="1" ht="14.25" customHeight="1">
      <c r="A634" s="353" t="s">
        <v>37</v>
      </c>
      <c r="B634" s="353" t="s">
        <v>131</v>
      </c>
      <c r="C634" s="353" t="s">
        <v>260</v>
      </c>
      <c r="D634" s="402" t="s">
        <v>2799</v>
      </c>
      <c r="E634" s="67" t="s">
        <v>1526</v>
      </c>
      <c r="F634" s="353"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62"/>
      <c r="T634" s="91"/>
      <c r="U634" s="87"/>
      <c r="V634" s="67" t="s">
        <v>260</v>
      </c>
      <c r="X634" s="457"/>
      <c r="Y634" s="457"/>
      <c r="Z634" s="457"/>
    </row>
    <row r="635" spans="1:26" s="67" customFormat="1" ht="14.25" customHeight="1">
      <c r="A635" s="353" t="s">
        <v>37</v>
      </c>
      <c r="B635" s="353" t="s">
        <v>131</v>
      </c>
      <c r="C635" s="353" t="s">
        <v>170</v>
      </c>
      <c r="D635" s="402" t="s">
        <v>2799</v>
      </c>
      <c r="E635" s="67" t="s">
        <v>1524</v>
      </c>
      <c r="F635" s="67" t="s">
        <v>1695</v>
      </c>
      <c r="G635" s="67" t="s">
        <v>1685</v>
      </c>
      <c r="H635" s="67" t="s">
        <v>41</v>
      </c>
      <c r="I635" s="67" t="s">
        <v>2641</v>
      </c>
      <c r="J635" s="67" t="s">
        <v>43</v>
      </c>
      <c r="K635" s="67" t="s">
        <v>43</v>
      </c>
      <c r="L635" s="67" t="s">
        <v>43</v>
      </c>
      <c r="M635" s="67" t="s">
        <v>44</v>
      </c>
      <c r="N635" s="67">
        <v>25.351724999999998</v>
      </c>
      <c r="O635" s="67">
        <v>97.438432380952406</v>
      </c>
      <c r="P635" s="67" t="s">
        <v>756</v>
      </c>
      <c r="Q635" s="67" t="s">
        <v>775</v>
      </c>
      <c r="R635" s="356"/>
      <c r="S635" s="462"/>
      <c r="T635" s="91"/>
      <c r="U635" s="87"/>
      <c r="V635" s="67" t="s">
        <v>170</v>
      </c>
      <c r="W635" s="353"/>
      <c r="X635" s="457"/>
      <c r="Y635" s="457"/>
      <c r="Z635" s="457"/>
    </row>
    <row r="636" spans="1:26" s="67" customFormat="1" ht="14.25" customHeight="1">
      <c r="A636" s="353" t="s">
        <v>37</v>
      </c>
      <c r="B636" s="353" t="s">
        <v>131</v>
      </c>
      <c r="C636" s="353" t="s">
        <v>261</v>
      </c>
      <c r="D636" s="402" t="s">
        <v>2799</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6"/>
      <c r="S636" s="462"/>
      <c r="T636" s="91"/>
      <c r="U636" s="87"/>
      <c r="V636" s="67" t="s">
        <v>261</v>
      </c>
      <c r="W636" s="353"/>
      <c r="X636" s="457"/>
      <c r="Y636" s="457"/>
      <c r="Z636" s="457"/>
    </row>
    <row r="637" spans="1:26" s="67" customFormat="1" ht="14.25" customHeight="1">
      <c r="A637" s="353" t="s">
        <v>37</v>
      </c>
      <c r="B637" s="353" t="s">
        <v>131</v>
      </c>
      <c r="C637" s="353" t="s">
        <v>262</v>
      </c>
      <c r="D637" s="402" t="s">
        <v>2095</v>
      </c>
      <c r="E637" s="353" t="s">
        <v>1521</v>
      </c>
      <c r="F637" s="67" t="s">
        <v>1695</v>
      </c>
      <c r="G637" s="67" t="s">
        <v>1789</v>
      </c>
      <c r="H637" s="67" t="s">
        <v>41</v>
      </c>
      <c r="I637" s="67" t="s">
        <v>231</v>
      </c>
      <c r="J637" s="67" t="s">
        <v>43</v>
      </c>
      <c r="K637" s="67" t="s">
        <v>43</v>
      </c>
      <c r="L637" s="67" t="s">
        <v>755</v>
      </c>
      <c r="M637" s="67" t="s">
        <v>44</v>
      </c>
      <c r="N637" s="353">
        <v>25.350809000000002</v>
      </c>
      <c r="O637" s="353">
        <v>97.432495000000003</v>
      </c>
      <c r="P637" s="67" t="s">
        <v>756</v>
      </c>
      <c r="Q637" s="67" t="s">
        <v>775</v>
      </c>
      <c r="R637" s="356"/>
      <c r="S637" s="462"/>
      <c r="T637" s="91"/>
      <c r="U637" s="87"/>
      <c r="V637" s="67" t="s">
        <v>262</v>
      </c>
      <c r="W637" s="348" t="s">
        <v>2151</v>
      </c>
      <c r="X637" s="457"/>
      <c r="Y637" s="457"/>
      <c r="Z637" s="457"/>
    </row>
    <row r="638" spans="1:26" s="67" customFormat="1" ht="14.25" customHeight="1">
      <c r="A638" s="361" t="s">
        <v>37</v>
      </c>
      <c r="B638" s="360" t="s">
        <v>131</v>
      </c>
      <c r="C638" s="354" t="s">
        <v>1045</v>
      </c>
      <c r="D638" s="402" t="s">
        <v>2799</v>
      </c>
      <c r="E638" s="354" t="s">
        <v>1951</v>
      </c>
      <c r="F638" s="353" t="s">
        <v>1045</v>
      </c>
      <c r="G638" s="67" t="s">
        <v>1045</v>
      </c>
      <c r="H638" s="354"/>
      <c r="I638" s="354" t="s">
        <v>2104</v>
      </c>
      <c r="J638" s="67" t="s">
        <v>43</v>
      </c>
      <c r="K638" s="67" t="s">
        <v>43</v>
      </c>
      <c r="L638" s="354" t="s">
        <v>771</v>
      </c>
      <c r="M638" s="67" t="s">
        <v>44</v>
      </c>
      <c r="N638" s="67">
        <v>0</v>
      </c>
      <c r="O638" s="67">
        <v>0</v>
      </c>
      <c r="P638" s="17" t="s">
        <v>756</v>
      </c>
      <c r="Q638" s="353" t="s">
        <v>1921</v>
      </c>
      <c r="R638" s="356"/>
      <c r="S638" s="462"/>
      <c r="T638" s="376">
        <v>43276</v>
      </c>
      <c r="U638" s="362"/>
      <c r="V638" s="354"/>
      <c r="W638" s="67" t="s">
        <v>2152</v>
      </c>
      <c r="X638" s="457"/>
      <c r="Y638" s="457"/>
      <c r="Z638" s="457"/>
    </row>
    <row r="639" spans="1:26" s="67" customFormat="1" ht="14.25" customHeight="1">
      <c r="A639" s="353" t="s">
        <v>37</v>
      </c>
      <c r="B639" s="354" t="s">
        <v>131</v>
      </c>
      <c r="C639" s="354" t="s">
        <v>132</v>
      </c>
      <c r="D639" s="402" t="s">
        <v>2799</v>
      </c>
      <c r="E639" s="353" t="s">
        <v>1606</v>
      </c>
      <c r="F639" s="67" t="s">
        <v>1778</v>
      </c>
      <c r="G639" s="67" t="s">
        <v>1779</v>
      </c>
      <c r="H639" s="67" t="s">
        <v>41</v>
      </c>
      <c r="I639" s="67" t="s">
        <v>2641</v>
      </c>
      <c r="J639" s="67" t="s">
        <v>43</v>
      </c>
      <c r="K639" s="354" t="s">
        <v>43</v>
      </c>
      <c r="L639" s="354" t="s">
        <v>43</v>
      </c>
      <c r="M639" s="67" t="s">
        <v>773</v>
      </c>
      <c r="N639" s="353">
        <v>0</v>
      </c>
      <c r="O639" s="353">
        <v>0</v>
      </c>
      <c r="P639" s="17" t="s">
        <v>756</v>
      </c>
      <c r="Q639" s="67" t="s">
        <v>797</v>
      </c>
      <c r="R639" s="85"/>
      <c r="S639" s="462"/>
      <c r="T639" s="91">
        <v>42916</v>
      </c>
      <c r="U639" s="87" t="s">
        <v>1131</v>
      </c>
      <c r="W639" s="348" t="s">
        <v>2252</v>
      </c>
      <c r="X639" s="457"/>
      <c r="Y639" s="457"/>
      <c r="Z639" s="457"/>
    </row>
    <row r="640" spans="1:26" s="67" customFormat="1" ht="14.25" customHeight="1">
      <c r="A640" s="353" t="s">
        <v>37</v>
      </c>
      <c r="B640" s="354" t="s">
        <v>131</v>
      </c>
      <c r="C640" s="354" t="s">
        <v>171</v>
      </c>
      <c r="D640" s="402" t="s">
        <v>2799</v>
      </c>
      <c r="E640" s="353" t="s">
        <v>1550</v>
      </c>
      <c r="F640" s="354" t="s">
        <v>1804</v>
      </c>
      <c r="G640" s="353" t="s">
        <v>1805</v>
      </c>
      <c r="H640" s="353" t="s">
        <v>41</v>
      </c>
      <c r="I640" s="353" t="s">
        <v>2641</v>
      </c>
      <c r="J640" s="67" t="s">
        <v>43</v>
      </c>
      <c r="K640" s="67" t="s">
        <v>43</v>
      </c>
      <c r="L640" s="67" t="s">
        <v>43</v>
      </c>
      <c r="M640" s="353" t="s">
        <v>44</v>
      </c>
      <c r="N640" s="353">
        <v>25.418084</v>
      </c>
      <c r="O640" s="353">
        <v>98.025662999999994</v>
      </c>
      <c r="P640" s="67" t="s">
        <v>756</v>
      </c>
      <c r="Q640" s="353" t="s">
        <v>775</v>
      </c>
      <c r="R640" s="356"/>
      <c r="S640" s="462"/>
      <c r="T640" s="376"/>
      <c r="U640" s="358"/>
      <c r="V640" s="353" t="s">
        <v>171</v>
      </c>
      <c r="W640" s="348" t="s">
        <v>2253</v>
      </c>
      <c r="X640" s="457"/>
      <c r="Y640" s="457"/>
      <c r="Z640" s="457"/>
    </row>
    <row r="641" spans="1:26" s="67" customFormat="1" ht="14.25" customHeight="1">
      <c r="A641" s="353" t="s">
        <v>37</v>
      </c>
      <c r="B641" s="354" t="s">
        <v>131</v>
      </c>
      <c r="C641" s="354" t="s">
        <v>263</v>
      </c>
      <c r="D641" s="402" t="s">
        <v>2799</v>
      </c>
      <c r="E641" s="353" t="s">
        <v>1519</v>
      </c>
      <c r="F641" s="353" t="s">
        <v>1695</v>
      </c>
      <c r="G641" s="353" t="s">
        <v>1789</v>
      </c>
      <c r="H641" s="353" t="s">
        <v>41</v>
      </c>
      <c r="I641" s="353" t="s">
        <v>231</v>
      </c>
      <c r="J641" s="353" t="s">
        <v>43</v>
      </c>
      <c r="K641" s="353" t="s">
        <v>43</v>
      </c>
      <c r="L641" s="353" t="s">
        <v>43</v>
      </c>
      <c r="M641" s="353" t="s">
        <v>44</v>
      </c>
      <c r="N641" s="353">
        <v>25.333683333333301</v>
      </c>
      <c r="O641" s="353">
        <v>97.428251153846105</v>
      </c>
      <c r="P641" s="353" t="s">
        <v>756</v>
      </c>
      <c r="Q641" s="353" t="s">
        <v>775</v>
      </c>
      <c r="R641" s="356"/>
      <c r="S641" s="462"/>
      <c r="T641" s="376"/>
      <c r="U641" s="358"/>
      <c r="V641" s="353" t="s">
        <v>263</v>
      </c>
      <c r="W641" s="353"/>
      <c r="X641" s="457"/>
      <c r="Y641" s="457"/>
      <c r="Z641" s="457"/>
    </row>
    <row r="642" spans="1:26" s="67" customFormat="1" ht="14.25" customHeight="1">
      <c r="A642" s="361" t="s">
        <v>37</v>
      </c>
      <c r="B642" s="360" t="s">
        <v>131</v>
      </c>
      <c r="C642" s="354" t="s">
        <v>2096</v>
      </c>
      <c r="D642" s="402" t="s">
        <v>2799</v>
      </c>
      <c r="E642" s="354" t="s">
        <v>1948</v>
      </c>
      <c r="F642" s="354"/>
      <c r="G642" s="354"/>
      <c r="H642" s="67" t="s">
        <v>41</v>
      </c>
      <c r="I642" s="67" t="s">
        <v>2641</v>
      </c>
      <c r="J642" s="67" t="s">
        <v>43</v>
      </c>
      <c r="K642" s="67" t="s">
        <v>43</v>
      </c>
      <c r="L642" s="67" t="s">
        <v>43</v>
      </c>
      <c r="M642" s="67" t="s">
        <v>44</v>
      </c>
      <c r="N642" s="67">
        <v>0</v>
      </c>
      <c r="O642" s="67">
        <v>0</v>
      </c>
      <c r="P642" s="354" t="s">
        <v>756</v>
      </c>
      <c r="Q642" s="67" t="s">
        <v>1921</v>
      </c>
      <c r="R642" s="85"/>
      <c r="S642" s="462"/>
      <c r="T642" s="91">
        <v>43276</v>
      </c>
      <c r="U642" s="362" t="s">
        <v>1969</v>
      </c>
      <c r="V642" s="354"/>
      <c r="W642" s="348" t="s">
        <v>2254</v>
      </c>
      <c r="X642" s="457"/>
      <c r="Y642" s="457"/>
      <c r="Z642" s="457"/>
    </row>
    <row r="643" spans="1:26" s="67" customFormat="1" ht="14.25" customHeight="1">
      <c r="A643" s="353" t="s">
        <v>37</v>
      </c>
      <c r="B643" s="354" t="s">
        <v>131</v>
      </c>
      <c r="C643" s="354" t="s">
        <v>264</v>
      </c>
      <c r="D643" s="402" t="s">
        <v>2799</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62"/>
      <c r="T643" s="91"/>
      <c r="U643" s="87"/>
      <c r="V643" s="67" t="s">
        <v>264</v>
      </c>
      <c r="X643" s="457"/>
      <c r="Y643" s="457"/>
      <c r="Z643" s="457"/>
    </row>
    <row r="644" spans="1:26" s="67" customFormat="1" ht="14.25" customHeight="1">
      <c r="A644" s="353" t="s">
        <v>37</v>
      </c>
      <c r="B644" s="354" t="s">
        <v>131</v>
      </c>
      <c r="C644" s="354" t="s">
        <v>1040</v>
      </c>
      <c r="D644" s="402" t="s">
        <v>1636</v>
      </c>
      <c r="E644" s="353" t="s">
        <v>1527</v>
      </c>
      <c r="F644" s="353" t="s">
        <v>1695</v>
      </c>
      <c r="G644" s="353" t="s">
        <v>1685</v>
      </c>
      <c r="H644" s="353" t="s">
        <v>41</v>
      </c>
      <c r="I644" s="353" t="s">
        <v>130</v>
      </c>
      <c r="J644" s="353" t="s">
        <v>43</v>
      </c>
      <c r="K644" s="353" t="s">
        <v>43</v>
      </c>
      <c r="L644" s="353" t="s">
        <v>755</v>
      </c>
      <c r="M644" s="353" t="s">
        <v>44</v>
      </c>
      <c r="N644" s="353">
        <v>25.355841999999999</v>
      </c>
      <c r="O644" s="353">
        <v>97.438259000000002</v>
      </c>
      <c r="P644" s="353" t="s">
        <v>756</v>
      </c>
      <c r="Q644" s="353" t="s">
        <v>775</v>
      </c>
      <c r="R644" s="356"/>
      <c r="S644" s="357"/>
      <c r="T644" s="376"/>
      <c r="U644" s="358" t="s">
        <v>1041</v>
      </c>
      <c r="V644" s="353" t="s">
        <v>1040</v>
      </c>
      <c r="W644" s="348" t="s">
        <v>2153</v>
      </c>
      <c r="X644" s="457"/>
      <c r="Y644" s="457"/>
      <c r="Z644" s="457"/>
    </row>
    <row r="645" spans="1:26" s="67" customFormat="1" ht="14.25" customHeight="1">
      <c r="A645" s="361" t="s">
        <v>37</v>
      </c>
      <c r="B645" s="360" t="s">
        <v>131</v>
      </c>
      <c r="C645" s="354" t="s">
        <v>1931</v>
      </c>
      <c r="D645" s="403"/>
      <c r="E645" s="354"/>
      <c r="F645" s="354"/>
      <c r="G645" s="354"/>
      <c r="H645" s="354"/>
      <c r="I645" s="354"/>
      <c r="J645" s="67" t="s">
        <v>1443</v>
      </c>
      <c r="K645" s="67" t="s">
        <v>43</v>
      </c>
      <c r="L645" s="67" t="s">
        <v>43</v>
      </c>
      <c r="M645" s="67" t="s">
        <v>44</v>
      </c>
      <c r="N645" s="354"/>
      <c r="O645" s="354"/>
      <c r="P645" s="67" t="s">
        <v>756</v>
      </c>
      <c r="Q645" s="67" t="s">
        <v>1921</v>
      </c>
      <c r="R645" s="365"/>
      <c r="S645" s="361"/>
      <c r="T645" s="91">
        <v>43270</v>
      </c>
      <c r="U645" s="362"/>
      <c r="V645" s="354"/>
      <c r="W645" s="353"/>
      <c r="X645" s="457"/>
      <c r="Y645" s="457"/>
      <c r="Z645" s="457"/>
    </row>
    <row r="646" spans="1:26" s="67" customFormat="1" ht="14.25" customHeight="1">
      <c r="A646" s="353" t="s">
        <v>37</v>
      </c>
      <c r="B646" s="354" t="s">
        <v>131</v>
      </c>
      <c r="C646" s="354" t="s">
        <v>210</v>
      </c>
      <c r="D646" s="402" t="s">
        <v>2799</v>
      </c>
      <c r="E646" s="353" t="s">
        <v>1497</v>
      </c>
      <c r="F646" s="353" t="s">
        <v>1688</v>
      </c>
      <c r="G646" s="353" t="s">
        <v>1688</v>
      </c>
      <c r="H646" s="353" t="s">
        <v>41</v>
      </c>
      <c r="I646" s="353" t="s">
        <v>1308</v>
      </c>
      <c r="J646" s="67" t="s">
        <v>43</v>
      </c>
      <c r="K646" s="67" t="s">
        <v>43</v>
      </c>
      <c r="L646" s="67" t="s">
        <v>43</v>
      </c>
      <c r="M646" s="353" t="s">
        <v>773</v>
      </c>
      <c r="N646" s="353">
        <v>24.755253</v>
      </c>
      <c r="O646" s="353">
        <v>97.546893999999995</v>
      </c>
      <c r="P646" s="67" t="s">
        <v>756</v>
      </c>
      <c r="Q646" s="353" t="s">
        <v>775</v>
      </c>
      <c r="R646" s="356"/>
      <c r="S646" s="462"/>
      <c r="T646" s="376"/>
      <c r="U646" s="358"/>
      <c r="V646" s="353" t="s">
        <v>210</v>
      </c>
      <c r="W646" s="348" t="s">
        <v>2255</v>
      </c>
      <c r="X646" s="457"/>
      <c r="Y646" s="457"/>
      <c r="Z646" s="457"/>
    </row>
    <row r="647" spans="1:26" s="67" customFormat="1" ht="14.25" customHeight="1">
      <c r="A647" s="353" t="s">
        <v>37</v>
      </c>
      <c r="B647" s="354" t="s">
        <v>131</v>
      </c>
      <c r="C647" s="354" t="s">
        <v>212</v>
      </c>
      <c r="D647" s="402" t="s">
        <v>1635</v>
      </c>
      <c r="E647" s="353"/>
      <c r="F647" s="353"/>
      <c r="G647" s="353"/>
      <c r="H647" s="353"/>
      <c r="I647" s="353"/>
      <c r="J647" s="67" t="s">
        <v>1443</v>
      </c>
      <c r="K647" s="67" t="s">
        <v>43</v>
      </c>
      <c r="L647" s="67" t="s">
        <v>1146</v>
      </c>
      <c r="M647" s="353" t="s">
        <v>773</v>
      </c>
      <c r="N647" s="353"/>
      <c r="O647" s="353"/>
      <c r="P647" s="67" t="s">
        <v>756</v>
      </c>
      <c r="Q647" s="353" t="s">
        <v>775</v>
      </c>
      <c r="R647" s="356"/>
      <c r="S647" s="357"/>
      <c r="T647" s="376"/>
      <c r="U647" s="358" t="s">
        <v>1090</v>
      </c>
      <c r="V647" s="353"/>
      <c r="X647" s="457"/>
      <c r="Y647" s="457"/>
      <c r="Z647" s="457"/>
    </row>
    <row r="648" spans="1:26" s="67" customFormat="1" ht="14.25" customHeight="1">
      <c r="A648" s="353" t="s">
        <v>37</v>
      </c>
      <c r="B648" s="354" t="s">
        <v>131</v>
      </c>
      <c r="C648" s="354" t="s">
        <v>211</v>
      </c>
      <c r="D648" s="402" t="s">
        <v>1635</v>
      </c>
      <c r="J648" s="67" t="s">
        <v>1443</v>
      </c>
      <c r="K648" s="67" t="s">
        <v>43</v>
      </c>
      <c r="L648" s="67" t="s">
        <v>767</v>
      </c>
      <c r="M648" s="67" t="s">
        <v>773</v>
      </c>
      <c r="P648" s="67" t="s">
        <v>768</v>
      </c>
      <c r="Q648" s="67" t="s">
        <v>775</v>
      </c>
      <c r="R648" s="85"/>
      <c r="S648" s="357"/>
      <c r="T648" s="91"/>
      <c r="U648" s="87" t="s">
        <v>1090</v>
      </c>
      <c r="X648" s="457"/>
      <c r="Y648" s="457"/>
      <c r="Z648" s="457"/>
    </row>
    <row r="649" spans="1:26" s="67" customFormat="1" ht="14.25" customHeight="1">
      <c r="A649" s="353" t="s">
        <v>37</v>
      </c>
      <c r="B649" s="354" t="s">
        <v>131</v>
      </c>
      <c r="C649" s="354" t="s">
        <v>1032</v>
      </c>
      <c r="D649" s="402" t="s">
        <v>1636</v>
      </c>
      <c r="E649" s="67" t="s">
        <v>1506</v>
      </c>
      <c r="F649" s="67" t="s">
        <v>1692</v>
      </c>
      <c r="G649" s="67" t="s">
        <v>1693</v>
      </c>
      <c r="H649" s="67" t="s">
        <v>41</v>
      </c>
      <c r="I649" s="67" t="s">
        <v>130</v>
      </c>
      <c r="J649" s="67" t="s">
        <v>43</v>
      </c>
      <c r="K649" s="353" t="s">
        <v>43</v>
      </c>
      <c r="L649" s="353" t="s">
        <v>755</v>
      </c>
      <c r="M649" s="67" t="s">
        <v>773</v>
      </c>
      <c r="N649" s="67">
        <v>25.106670000000001</v>
      </c>
      <c r="O649" s="67">
        <v>97.756789999999995</v>
      </c>
      <c r="P649" s="67" t="s">
        <v>756</v>
      </c>
      <c r="Q649" s="67" t="s">
        <v>775</v>
      </c>
      <c r="R649" s="356"/>
      <c r="S649" s="86"/>
      <c r="T649" s="91"/>
      <c r="U649" s="87" t="s">
        <v>1027</v>
      </c>
      <c r="V649" s="67" t="s">
        <v>1033</v>
      </c>
      <c r="W649" s="348" t="s">
        <v>2154</v>
      </c>
      <c r="X649" s="457"/>
      <c r="Y649" s="457"/>
      <c r="Z649" s="457"/>
    </row>
    <row r="650" spans="1:26" s="67" customFormat="1" ht="14.25" customHeight="1">
      <c r="A650" s="353" t="s">
        <v>2626</v>
      </c>
      <c r="B650" s="353" t="s">
        <v>318</v>
      </c>
      <c r="C650" s="353" t="s">
        <v>2520</v>
      </c>
      <c r="D650" s="402"/>
      <c r="E650" s="353"/>
      <c r="F650" s="353"/>
      <c r="G650" s="353"/>
      <c r="H650" s="353"/>
      <c r="I650" s="353"/>
      <c r="J650" s="353" t="s">
        <v>2632</v>
      </c>
      <c r="K650" s="353" t="s">
        <v>2600</v>
      </c>
      <c r="L650" s="353" t="s">
        <v>2600</v>
      </c>
      <c r="M650" s="353"/>
      <c r="N650" s="353"/>
      <c r="O650" s="353"/>
      <c r="P650" s="353"/>
      <c r="Q650" s="353"/>
      <c r="R650" s="356"/>
      <c r="S650" s="357"/>
      <c r="T650" s="376"/>
      <c r="U650" s="358"/>
      <c r="V650" s="353"/>
      <c r="W650" s="353"/>
      <c r="X650" s="457"/>
      <c r="Y650" s="457"/>
      <c r="Z650" s="457"/>
    </row>
    <row r="651" spans="1:26" s="67" customFormat="1" ht="14.25" customHeight="1">
      <c r="A651" s="409" t="s">
        <v>2626</v>
      </c>
      <c r="B651" s="417" t="s">
        <v>318</v>
      </c>
      <c r="C651" s="421" t="s">
        <v>2654</v>
      </c>
      <c r="D651" s="355"/>
      <c r="E651" s="411">
        <v>198334</v>
      </c>
      <c r="F651" s="411" t="s">
        <v>2654</v>
      </c>
      <c r="G651" s="411"/>
      <c r="H651" s="411"/>
      <c r="I651" s="411"/>
      <c r="J651" s="353" t="s">
        <v>793</v>
      </c>
      <c r="K651" s="353" t="s">
        <v>793</v>
      </c>
      <c r="L651" s="353" t="s">
        <v>793</v>
      </c>
      <c r="M651" s="411"/>
      <c r="N651" s="411">
        <v>20.825700759887699</v>
      </c>
      <c r="O651" s="411">
        <v>92.542686462402301</v>
      </c>
      <c r="P651" s="411"/>
      <c r="Q651" s="411" t="s">
        <v>2605</v>
      </c>
      <c r="R651" s="412"/>
      <c r="S651" s="409"/>
      <c r="T651" s="413">
        <v>43580</v>
      </c>
      <c r="U651" s="414" t="s">
        <v>2651</v>
      </c>
      <c r="V651" s="415"/>
      <c r="W651" s="356"/>
      <c r="X651" s="457"/>
      <c r="Y651" s="457"/>
      <c r="Z651" s="457"/>
    </row>
    <row r="652" spans="1:26" s="67" customFormat="1" ht="14.25" customHeight="1">
      <c r="A652" s="353" t="s">
        <v>2626</v>
      </c>
      <c r="B652" s="354" t="s">
        <v>318</v>
      </c>
      <c r="C652" s="354" t="s">
        <v>626</v>
      </c>
      <c r="D652" s="402" t="s">
        <v>1635</v>
      </c>
      <c r="E652" s="67">
        <v>198334</v>
      </c>
      <c r="J652" s="67" t="s">
        <v>2632</v>
      </c>
      <c r="K652" s="67" t="s">
        <v>2600</v>
      </c>
      <c r="L652" s="67" t="s">
        <v>2600</v>
      </c>
      <c r="M652" s="67" t="s">
        <v>790</v>
      </c>
      <c r="N652" s="67">
        <v>20.82570076</v>
      </c>
      <c r="O652" s="67">
        <v>92.542686459999999</v>
      </c>
      <c r="P652" s="67" t="s">
        <v>794</v>
      </c>
      <c r="Q652" s="67" t="s">
        <v>775</v>
      </c>
      <c r="R652" s="85"/>
      <c r="S652" s="357"/>
      <c r="T652" s="91"/>
      <c r="U652" s="358"/>
      <c r="V652" s="67" t="s">
        <v>626</v>
      </c>
      <c r="W652" s="353"/>
      <c r="X652" s="457"/>
      <c r="Y652" s="457"/>
      <c r="Z652" s="457"/>
    </row>
    <row r="653" spans="1:26" s="67" customFormat="1" ht="14.25" customHeight="1">
      <c r="A653" s="409" t="s">
        <v>2626</v>
      </c>
      <c r="B653" s="417" t="s">
        <v>318</v>
      </c>
      <c r="C653" s="421" t="s">
        <v>2487</v>
      </c>
      <c r="D653" s="355"/>
      <c r="E653" s="411">
        <v>198349</v>
      </c>
      <c r="F653" s="411" t="s">
        <v>2487</v>
      </c>
      <c r="G653" s="411"/>
      <c r="H653" s="411"/>
      <c r="I653" s="411"/>
      <c r="J653" s="67" t="s">
        <v>793</v>
      </c>
      <c r="K653" s="67" t="s">
        <v>793</v>
      </c>
      <c r="L653" s="67" t="s">
        <v>793</v>
      </c>
      <c r="M653" s="171" t="s">
        <v>790</v>
      </c>
      <c r="N653" s="411">
        <v>20.819919586181602</v>
      </c>
      <c r="O653" s="411">
        <v>92.589729309082003</v>
      </c>
      <c r="P653" s="411"/>
      <c r="Q653" s="411" t="s">
        <v>2605</v>
      </c>
      <c r="R653" s="412"/>
      <c r="S653" s="409"/>
      <c r="T653" s="413">
        <v>43580</v>
      </c>
      <c r="U653" s="414" t="s">
        <v>2651</v>
      </c>
      <c r="V653" s="415"/>
      <c r="W653" s="356"/>
      <c r="X653" s="457"/>
      <c r="Y653" s="457"/>
      <c r="Z653" s="457"/>
    </row>
    <row r="654" spans="1:26" s="67" customFormat="1" ht="14.25" customHeight="1">
      <c r="A654" s="353" t="s">
        <v>2626</v>
      </c>
      <c r="B654" s="353" t="s">
        <v>318</v>
      </c>
      <c r="C654" s="353" t="s">
        <v>539</v>
      </c>
      <c r="D654" s="402" t="s">
        <v>1635</v>
      </c>
      <c r="E654" s="67">
        <v>198443</v>
      </c>
      <c r="J654" s="67" t="s">
        <v>793</v>
      </c>
      <c r="K654" s="67" t="s">
        <v>793</v>
      </c>
      <c r="L654" s="67" t="s">
        <v>793</v>
      </c>
      <c r="M654" s="67" t="s">
        <v>790</v>
      </c>
      <c r="N654" s="67">
        <v>20.686819079999999</v>
      </c>
      <c r="O654" s="67">
        <v>92.57855988</v>
      </c>
      <c r="P654" s="67" t="s">
        <v>794</v>
      </c>
      <c r="Q654" s="67" t="s">
        <v>775</v>
      </c>
      <c r="R654" s="356"/>
      <c r="S654" s="86"/>
      <c r="T654" s="91"/>
      <c r="U654" s="87"/>
      <c r="V654" s="67" t="s">
        <v>539</v>
      </c>
      <c r="X654" s="457"/>
      <c r="Y654" s="457"/>
      <c r="Z654" s="457"/>
    </row>
    <row r="655" spans="1:26" s="67" customFormat="1" ht="14.25" customHeight="1">
      <c r="A655" s="353" t="s">
        <v>2626</v>
      </c>
      <c r="B655" s="353" t="s">
        <v>318</v>
      </c>
      <c r="C655" s="353" t="s">
        <v>2666</v>
      </c>
      <c r="D655" s="402" t="s">
        <v>1635</v>
      </c>
      <c r="E655" s="67">
        <v>198185</v>
      </c>
      <c r="J655" s="67" t="s">
        <v>793</v>
      </c>
      <c r="K655" s="67" t="s">
        <v>793</v>
      </c>
      <c r="L655" s="67" t="s">
        <v>793</v>
      </c>
      <c r="M655" s="67" t="s">
        <v>790</v>
      </c>
      <c r="N655" s="353">
        <v>20.961650850000002</v>
      </c>
      <c r="O655" s="353">
        <v>92.502937320000001</v>
      </c>
      <c r="P655" s="67" t="s">
        <v>794</v>
      </c>
      <c r="Q655" s="67" t="s">
        <v>775</v>
      </c>
      <c r="R655" s="85"/>
      <c r="S655" s="86"/>
      <c r="T655" s="91"/>
      <c r="U655" s="87"/>
      <c r="V655" s="67" t="s">
        <v>660</v>
      </c>
      <c r="X655" s="457"/>
      <c r="Y655" s="457"/>
      <c r="Z655" s="457"/>
    </row>
    <row r="656" spans="1:26" s="67" customFormat="1" ht="14.25" customHeight="1">
      <c r="A656" s="462" t="s">
        <v>2626</v>
      </c>
      <c r="B656" s="465" t="s">
        <v>318</v>
      </c>
      <c r="C656" s="466" t="s">
        <v>2793</v>
      </c>
      <c r="D656" s="460"/>
      <c r="E656" s="67">
        <v>198357</v>
      </c>
      <c r="J656" s="67" t="s">
        <v>793</v>
      </c>
      <c r="K656" s="67" t="s">
        <v>793</v>
      </c>
      <c r="L656" s="67" t="s">
        <v>793</v>
      </c>
      <c r="N656" s="457">
        <v>20.813840866088899</v>
      </c>
      <c r="O656" s="457">
        <v>92.599952697753906</v>
      </c>
      <c r="R656" s="469"/>
      <c r="S656" s="86"/>
      <c r="T656" s="91"/>
      <c r="U656" s="469"/>
      <c r="W656" s="461"/>
      <c r="X656" s="457"/>
      <c r="Y656" s="457"/>
      <c r="Z656" s="457"/>
    </row>
    <row r="657" spans="1:26" s="67" customFormat="1" ht="14.25" customHeight="1">
      <c r="A657" s="353" t="s">
        <v>2626</v>
      </c>
      <c r="B657" s="354" t="s">
        <v>318</v>
      </c>
      <c r="C657" s="354" t="s">
        <v>578</v>
      </c>
      <c r="D657" s="402" t="s">
        <v>1635</v>
      </c>
      <c r="E657" s="67">
        <v>198427</v>
      </c>
      <c r="J657" s="67" t="s">
        <v>793</v>
      </c>
      <c r="K657" s="67" t="s">
        <v>793</v>
      </c>
      <c r="L657" s="67" t="s">
        <v>793</v>
      </c>
      <c r="M657" s="67" t="s">
        <v>884</v>
      </c>
      <c r="N657" s="473">
        <v>20.742059709999999</v>
      </c>
      <c r="O657" s="473">
        <v>92.630676269999995</v>
      </c>
      <c r="P657" s="67" t="s">
        <v>794</v>
      </c>
      <c r="Q657" s="67" t="s">
        <v>775</v>
      </c>
      <c r="R657" s="85"/>
      <c r="S657" s="86"/>
      <c r="T657" s="91"/>
      <c r="U657" s="87"/>
      <c r="V657" s="67" t="s">
        <v>578</v>
      </c>
      <c r="X657" s="457"/>
      <c r="Y657" s="457"/>
      <c r="Z657" s="457"/>
    </row>
    <row r="658" spans="1:26" s="67" customFormat="1" ht="14.25" customHeight="1">
      <c r="A658" s="353" t="s">
        <v>2626</v>
      </c>
      <c r="B658" s="459" t="s">
        <v>318</v>
      </c>
      <c r="C658" s="459" t="s">
        <v>2494</v>
      </c>
      <c r="D658" s="402"/>
      <c r="E658" s="67">
        <v>198427</v>
      </c>
      <c r="F658" s="67" t="s">
        <v>2608</v>
      </c>
      <c r="J658" s="67" t="s">
        <v>793</v>
      </c>
      <c r="K658" s="353" t="s">
        <v>793</v>
      </c>
      <c r="L658" s="353" t="s">
        <v>793</v>
      </c>
      <c r="M658" s="67" t="s">
        <v>790</v>
      </c>
      <c r="Q658" s="67" t="s">
        <v>2605</v>
      </c>
      <c r="R658" s="85"/>
      <c r="S658" s="86"/>
      <c r="T658" s="91"/>
      <c r="U658" s="87"/>
      <c r="X658" s="457"/>
      <c r="Y658" s="457"/>
      <c r="Z658" s="457"/>
    </row>
    <row r="659" spans="1:26" s="67" customFormat="1" ht="14.25" customHeight="1">
      <c r="A659" s="457" t="s">
        <v>2626</v>
      </c>
      <c r="B659" s="457" t="s">
        <v>318</v>
      </c>
      <c r="C659" s="457" t="s">
        <v>2493</v>
      </c>
      <c r="D659" s="402"/>
      <c r="E659" s="67">
        <v>198426</v>
      </c>
      <c r="F659" s="353" t="s">
        <v>2608</v>
      </c>
      <c r="J659" s="67" t="s">
        <v>793</v>
      </c>
      <c r="K659" s="67" t="s">
        <v>793</v>
      </c>
      <c r="L659" s="67" t="s">
        <v>793</v>
      </c>
      <c r="M659" s="67" t="s">
        <v>293</v>
      </c>
      <c r="O659" s="353"/>
      <c r="Q659" s="67" t="s">
        <v>2605</v>
      </c>
      <c r="R659" s="461"/>
      <c r="S659" s="357"/>
      <c r="T659" s="91"/>
      <c r="U659" s="463"/>
      <c r="W659" s="457"/>
      <c r="X659" s="457"/>
      <c r="Y659" s="457"/>
      <c r="Z659" s="457"/>
    </row>
    <row r="660" spans="1:26" s="67" customFormat="1" ht="14.25" customHeight="1">
      <c r="A660" s="465" t="s">
        <v>2626</v>
      </c>
      <c r="B660" s="465" t="s">
        <v>318</v>
      </c>
      <c r="C660" s="466" t="s">
        <v>2762</v>
      </c>
      <c r="D660" s="460"/>
      <c r="E660" s="67">
        <v>198415</v>
      </c>
      <c r="J660" s="67" t="s">
        <v>2632</v>
      </c>
      <c r="K660" s="67" t="s">
        <v>2600</v>
      </c>
      <c r="L660" s="67" t="s">
        <v>2600</v>
      </c>
      <c r="N660" s="67">
        <v>20.734859466552699</v>
      </c>
      <c r="O660" s="67">
        <v>92.657089233398395</v>
      </c>
      <c r="R660" s="469"/>
      <c r="S660" s="357"/>
      <c r="T660" s="91">
        <v>43591</v>
      </c>
      <c r="U660" s="469"/>
      <c r="W660" s="461"/>
      <c r="X660" s="457"/>
      <c r="Y660" s="457"/>
      <c r="Z660" s="457"/>
    </row>
    <row r="661" spans="1:26" s="67" customFormat="1" ht="14.25" customHeight="1">
      <c r="A661" s="353" t="s">
        <v>2626</v>
      </c>
      <c r="B661" s="353" t="s">
        <v>318</v>
      </c>
      <c r="C661" s="353" t="s">
        <v>600</v>
      </c>
      <c r="D661" s="402" t="s">
        <v>1635</v>
      </c>
      <c r="E661" s="353">
        <v>198367</v>
      </c>
      <c r="F661" s="353"/>
      <c r="G661" s="353"/>
      <c r="H661" s="353"/>
      <c r="I661" s="353"/>
      <c r="J661" s="353" t="s">
        <v>793</v>
      </c>
      <c r="K661" s="353" t="s">
        <v>793</v>
      </c>
      <c r="L661" s="353" t="s">
        <v>793</v>
      </c>
      <c r="M661" s="353" t="s">
        <v>790</v>
      </c>
      <c r="N661" s="457">
        <v>20.792390820000001</v>
      </c>
      <c r="O661" s="457">
        <v>92.587081909999995</v>
      </c>
      <c r="P661" s="353" t="s">
        <v>794</v>
      </c>
      <c r="Q661" s="353" t="s">
        <v>775</v>
      </c>
      <c r="R661" s="356"/>
      <c r="S661" s="357"/>
      <c r="T661" s="376"/>
      <c r="U661" s="358"/>
      <c r="V661" s="353" t="s">
        <v>600</v>
      </c>
      <c r="X661" s="457"/>
      <c r="Y661" s="457"/>
      <c r="Z661" s="457"/>
    </row>
    <row r="662" spans="1:26" s="67" customFormat="1" ht="14.25" customHeight="1">
      <c r="A662" s="457" t="s">
        <v>2626</v>
      </c>
      <c r="B662" s="457" t="s">
        <v>318</v>
      </c>
      <c r="C662" s="457" t="s">
        <v>647</v>
      </c>
      <c r="D662" s="402" t="s">
        <v>1635</v>
      </c>
      <c r="E662" s="67">
        <v>198317</v>
      </c>
      <c r="J662" s="67" t="s">
        <v>793</v>
      </c>
      <c r="K662" s="67" t="s">
        <v>793</v>
      </c>
      <c r="L662" s="67" t="s">
        <v>793</v>
      </c>
      <c r="M662" s="67" t="s">
        <v>790</v>
      </c>
      <c r="N662" s="473">
        <v>20.891330719999999</v>
      </c>
      <c r="O662" s="473">
        <v>92.491966250000004</v>
      </c>
      <c r="P662" s="67" t="s">
        <v>794</v>
      </c>
      <c r="Q662" s="67" t="s">
        <v>775</v>
      </c>
      <c r="R662" s="461"/>
      <c r="S662" s="86"/>
      <c r="T662" s="91"/>
      <c r="U662" s="463"/>
      <c r="V662" s="67" t="s">
        <v>647</v>
      </c>
      <c r="W662" s="457"/>
      <c r="X662" s="457"/>
      <c r="Y662" s="457"/>
      <c r="Z662" s="457"/>
    </row>
    <row r="663" spans="1:26" s="67" customFormat="1" ht="14.25" customHeight="1">
      <c r="A663" s="465" t="s">
        <v>2626</v>
      </c>
      <c r="B663" s="465" t="s">
        <v>318</v>
      </c>
      <c r="C663" s="466" t="s">
        <v>616</v>
      </c>
      <c r="D663" s="460"/>
      <c r="E663" s="67">
        <v>217876</v>
      </c>
      <c r="J663" s="67" t="s">
        <v>2632</v>
      </c>
      <c r="K663" s="67" t="s">
        <v>2600</v>
      </c>
      <c r="L663" s="67" t="s">
        <v>2600</v>
      </c>
      <c r="M663" s="67" t="s">
        <v>293</v>
      </c>
      <c r="N663" s="67">
        <v>20.818290709999999</v>
      </c>
      <c r="O663" s="67">
        <v>92.594978330000004</v>
      </c>
      <c r="P663" s="67" t="s">
        <v>794</v>
      </c>
      <c r="R663" s="469"/>
      <c r="S663" s="86"/>
      <c r="T663" s="91">
        <v>43591</v>
      </c>
      <c r="U663" s="469"/>
      <c r="W663" s="461"/>
      <c r="X663" s="457"/>
      <c r="Y663" s="457"/>
      <c r="Z663" s="457"/>
    </row>
    <row r="664" spans="1:26" s="67" customFormat="1" ht="14.25" customHeight="1">
      <c r="A664" s="353" t="s">
        <v>2626</v>
      </c>
      <c r="B664" s="353" t="s">
        <v>318</v>
      </c>
      <c r="C664" s="353" t="s">
        <v>319</v>
      </c>
      <c r="D664" s="402" t="s">
        <v>1635</v>
      </c>
      <c r="E664" s="353"/>
      <c r="F664" s="353"/>
      <c r="G664" s="353"/>
      <c r="H664" s="353"/>
      <c r="I664" s="353"/>
      <c r="J664" s="353" t="s">
        <v>799</v>
      </c>
      <c r="K664" s="353" t="s">
        <v>793</v>
      </c>
      <c r="L664" s="353" t="s">
        <v>799</v>
      </c>
      <c r="M664" s="67" t="s">
        <v>790</v>
      </c>
      <c r="N664" s="353"/>
      <c r="P664" s="67" t="s">
        <v>918</v>
      </c>
      <c r="Q664" s="353" t="s">
        <v>797</v>
      </c>
      <c r="R664" s="356"/>
      <c r="S664" s="357"/>
      <c r="T664" s="376">
        <v>42926</v>
      </c>
      <c r="U664" s="358" t="s">
        <v>928</v>
      </c>
      <c r="W664" s="353"/>
      <c r="X664" s="457"/>
      <c r="Y664" s="457"/>
      <c r="Z664" s="457"/>
    </row>
    <row r="665" spans="1:26" s="67" customFormat="1" ht="14.25" customHeight="1">
      <c r="A665" s="353" t="s">
        <v>2626</v>
      </c>
      <c r="B665" s="353" t="s">
        <v>318</v>
      </c>
      <c r="C665" s="353" t="s">
        <v>537</v>
      </c>
      <c r="D665" s="402" t="s">
        <v>1635</v>
      </c>
      <c r="E665" s="353">
        <v>220754</v>
      </c>
      <c r="F665" s="353"/>
      <c r="G665" s="353"/>
      <c r="H665" s="353"/>
      <c r="I665" s="353"/>
      <c r="J665" s="353" t="s">
        <v>793</v>
      </c>
      <c r="K665" s="353" t="s">
        <v>793</v>
      </c>
      <c r="L665" s="353" t="s">
        <v>793</v>
      </c>
      <c r="M665" s="67" t="s">
        <v>293</v>
      </c>
      <c r="N665" s="353">
        <v>20.685689929999999</v>
      </c>
      <c r="O665" s="67">
        <v>92.572860719999994</v>
      </c>
      <c r="P665" s="67" t="s">
        <v>794</v>
      </c>
      <c r="Q665" s="353" t="s">
        <v>775</v>
      </c>
      <c r="R665" s="356"/>
      <c r="S665" s="357"/>
      <c r="T665" s="376"/>
      <c r="U665" s="358"/>
      <c r="V665" s="67" t="s">
        <v>537</v>
      </c>
      <c r="W665" s="353"/>
      <c r="X665" s="457"/>
      <c r="Y665" s="457"/>
      <c r="Z665" s="457"/>
    </row>
    <row r="666" spans="1:26" s="67" customFormat="1" ht="14.25" customHeight="1">
      <c r="A666" s="353" t="s">
        <v>2626</v>
      </c>
      <c r="B666" s="353" t="s">
        <v>318</v>
      </c>
      <c r="C666" s="353" t="s">
        <v>566</v>
      </c>
      <c r="D666" s="402" t="s">
        <v>1635</v>
      </c>
      <c r="E666" s="67">
        <v>198429</v>
      </c>
      <c r="J666" s="67" t="s">
        <v>793</v>
      </c>
      <c r="K666" s="67" t="s">
        <v>793</v>
      </c>
      <c r="L666" s="353" t="s">
        <v>793</v>
      </c>
      <c r="M666" s="67" t="s">
        <v>790</v>
      </c>
      <c r="N666" s="67">
        <v>20.721019739999999</v>
      </c>
      <c r="O666" s="67">
        <v>92.626197809999994</v>
      </c>
      <c r="P666" s="67" t="s">
        <v>794</v>
      </c>
      <c r="Q666" s="67" t="s">
        <v>775</v>
      </c>
      <c r="R666" s="356"/>
      <c r="S666" s="86"/>
      <c r="T666" s="91"/>
      <c r="U666" s="87"/>
      <c r="V666" s="67" t="s">
        <v>566</v>
      </c>
      <c r="W666" s="353"/>
      <c r="X666" s="457"/>
      <c r="Y666" s="457"/>
      <c r="Z666" s="457"/>
    </row>
    <row r="667" spans="1:26" s="67" customFormat="1" ht="14.25" customHeight="1">
      <c r="A667" s="353" t="s">
        <v>2626</v>
      </c>
      <c r="B667" s="353" t="s">
        <v>318</v>
      </c>
      <c r="C667" s="353" t="s">
        <v>646</v>
      </c>
      <c r="D667" s="402"/>
      <c r="E667" s="67">
        <v>198435</v>
      </c>
      <c r="F667" s="67" t="s">
        <v>2610</v>
      </c>
      <c r="J667" s="67" t="s">
        <v>793</v>
      </c>
      <c r="K667" s="67" t="s">
        <v>793</v>
      </c>
      <c r="L667" s="67" t="s">
        <v>793</v>
      </c>
      <c r="M667" s="67" t="s">
        <v>790</v>
      </c>
      <c r="Q667" s="67" t="s">
        <v>2605</v>
      </c>
      <c r="R667" s="356"/>
      <c r="S667" s="86"/>
      <c r="T667" s="91"/>
      <c r="U667" s="87"/>
      <c r="X667" s="457"/>
      <c r="Y667" s="457"/>
      <c r="Z667" s="457"/>
    </row>
    <row r="668" spans="1:26" s="67" customFormat="1" ht="14.25" customHeight="1">
      <c r="A668" s="353" t="s">
        <v>2626</v>
      </c>
      <c r="B668" s="457" t="s">
        <v>318</v>
      </c>
      <c r="C668" s="457" t="s">
        <v>580</v>
      </c>
      <c r="D668" s="402" t="s">
        <v>1635</v>
      </c>
      <c r="E668" s="67">
        <v>198390</v>
      </c>
      <c r="J668" s="67" t="s">
        <v>793</v>
      </c>
      <c r="K668" s="67" t="s">
        <v>793</v>
      </c>
      <c r="L668" s="67" t="s">
        <v>793</v>
      </c>
      <c r="M668" s="67" t="s">
        <v>790</v>
      </c>
      <c r="N668" s="67">
        <v>20.753370289999999</v>
      </c>
      <c r="O668" s="67">
        <v>92.545188899999999</v>
      </c>
      <c r="P668" s="67" t="s">
        <v>794</v>
      </c>
      <c r="Q668" s="67" t="s">
        <v>775</v>
      </c>
      <c r="R668" s="356"/>
      <c r="S668" s="86"/>
      <c r="T668" s="91"/>
      <c r="U668" s="87"/>
      <c r="V668" s="67" t="s">
        <v>580</v>
      </c>
      <c r="X668" s="457"/>
      <c r="Y668" s="457"/>
      <c r="Z668" s="457"/>
    </row>
    <row r="669" spans="1:26" s="67" customFormat="1" ht="14.25" customHeight="1">
      <c r="A669" s="353" t="s">
        <v>2626</v>
      </c>
      <c r="B669" s="354" t="s">
        <v>318</v>
      </c>
      <c r="C669" s="354" t="s">
        <v>2495</v>
      </c>
      <c r="D669" s="402" t="s">
        <v>1635</v>
      </c>
      <c r="E669" s="67">
        <v>198431</v>
      </c>
      <c r="F669" s="67" t="s">
        <v>2609</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7"/>
      <c r="Y669" s="457"/>
      <c r="Z669" s="457"/>
    </row>
    <row r="670" spans="1:26" s="67" customFormat="1" ht="14.25" customHeight="1">
      <c r="A670" s="353" t="s">
        <v>2626</v>
      </c>
      <c r="B670" s="459" t="s">
        <v>318</v>
      </c>
      <c r="C670" s="459" t="s">
        <v>2496</v>
      </c>
      <c r="D670" s="402" t="s">
        <v>1635</v>
      </c>
      <c r="E670" s="67">
        <v>198428</v>
      </c>
      <c r="J670" s="67" t="s">
        <v>793</v>
      </c>
      <c r="K670" s="67" t="s">
        <v>793</v>
      </c>
      <c r="L670" s="67" t="s">
        <v>793</v>
      </c>
      <c r="M670" s="67" t="s">
        <v>293</v>
      </c>
      <c r="N670" s="67">
        <v>20.703920360000001</v>
      </c>
      <c r="O670" s="67">
        <v>92.631500239999994</v>
      </c>
      <c r="P670" s="67" t="s">
        <v>794</v>
      </c>
      <c r="Q670" s="67" t="s">
        <v>775</v>
      </c>
      <c r="R670" s="356"/>
      <c r="S670" s="86"/>
      <c r="T670" s="91"/>
      <c r="U670" s="87"/>
      <c r="V670" s="67" t="s">
        <v>550</v>
      </c>
      <c r="X670" s="457"/>
      <c r="Y670" s="457"/>
      <c r="Z670" s="457"/>
    </row>
    <row r="671" spans="1:26" s="67" customFormat="1" ht="14.25" customHeight="1">
      <c r="A671" s="353" t="s">
        <v>2626</v>
      </c>
      <c r="B671" s="353" t="s">
        <v>318</v>
      </c>
      <c r="C671" s="353" t="s">
        <v>528</v>
      </c>
      <c r="D671" s="402" t="s">
        <v>1635</v>
      </c>
      <c r="E671" s="67">
        <v>217884</v>
      </c>
      <c r="J671" s="67" t="s">
        <v>793</v>
      </c>
      <c r="K671" s="67" t="s">
        <v>793</v>
      </c>
      <c r="L671" s="67" t="s">
        <v>793</v>
      </c>
      <c r="M671" s="67" t="s">
        <v>790</v>
      </c>
      <c r="N671" s="67">
        <v>20.673639300000001</v>
      </c>
      <c r="O671" s="67">
        <v>92.596298219999994</v>
      </c>
      <c r="P671" s="67" t="s">
        <v>794</v>
      </c>
      <c r="Q671" s="67" t="s">
        <v>775</v>
      </c>
      <c r="R671" s="356"/>
      <c r="S671" s="86"/>
      <c r="T671" s="91"/>
      <c r="U671" s="87"/>
      <c r="V671" s="67" t="s">
        <v>528</v>
      </c>
      <c r="X671" s="457"/>
      <c r="Y671" s="457"/>
      <c r="Z671" s="457"/>
    </row>
    <row r="672" spans="1:26" s="67" customFormat="1" ht="14.25" customHeight="1">
      <c r="A672" s="457" t="s">
        <v>2626</v>
      </c>
      <c r="B672" s="457" t="s">
        <v>318</v>
      </c>
      <c r="C672" s="457" t="s">
        <v>2653</v>
      </c>
      <c r="D672" s="402"/>
      <c r="E672" s="457"/>
      <c r="F672" s="457"/>
      <c r="G672" s="457"/>
      <c r="H672" s="457"/>
      <c r="I672" s="457"/>
      <c r="J672" s="67" t="s">
        <v>793</v>
      </c>
      <c r="K672" s="67" t="s">
        <v>874</v>
      </c>
      <c r="L672" s="67" t="s">
        <v>874</v>
      </c>
      <c r="M672" s="457"/>
      <c r="N672" s="457"/>
      <c r="O672" s="457"/>
      <c r="P672" s="457"/>
      <c r="Q672" s="457"/>
      <c r="R672" s="461"/>
      <c r="S672" s="462"/>
      <c r="T672" s="481"/>
      <c r="U672" s="463"/>
      <c r="V672" s="457" t="s">
        <v>2795</v>
      </c>
      <c r="W672" s="457"/>
      <c r="X672" s="457"/>
      <c r="Y672" s="457"/>
      <c r="Z672" s="457"/>
    </row>
    <row r="673" spans="1:26" s="67" customFormat="1" ht="14.25" customHeight="1">
      <c r="A673" s="409" t="s">
        <v>2626</v>
      </c>
      <c r="B673" s="417" t="s">
        <v>318</v>
      </c>
      <c r="C673" s="421" t="s">
        <v>1096</v>
      </c>
      <c r="D673" s="460" t="s">
        <v>1635</v>
      </c>
      <c r="E673" s="411">
        <v>198232</v>
      </c>
      <c r="F673" s="487"/>
      <c r="G673" s="411"/>
      <c r="H673" s="411"/>
      <c r="I673" s="411"/>
      <c r="J673" s="67" t="s">
        <v>793</v>
      </c>
      <c r="K673" s="67" t="s">
        <v>793</v>
      </c>
      <c r="L673" s="67" t="s">
        <v>793</v>
      </c>
      <c r="M673" s="411" t="s">
        <v>293</v>
      </c>
      <c r="N673" s="411"/>
      <c r="O673" s="411"/>
      <c r="P673" s="411" t="s">
        <v>794</v>
      </c>
      <c r="Q673" s="411" t="s">
        <v>797</v>
      </c>
      <c r="R673" s="412"/>
      <c r="S673" s="409"/>
      <c r="T673" s="413">
        <v>42926</v>
      </c>
      <c r="U673" s="414" t="s">
        <v>798</v>
      </c>
      <c r="V673" s="415"/>
      <c r="W673" s="461"/>
      <c r="X673" s="457"/>
      <c r="Y673" s="457"/>
      <c r="Z673" s="457"/>
    </row>
    <row r="674" spans="1:26" s="67" customFormat="1" ht="14.25" customHeight="1">
      <c r="A674" s="353" t="s">
        <v>2626</v>
      </c>
      <c r="B674" s="353" t="s">
        <v>318</v>
      </c>
      <c r="C674" s="353" t="s">
        <v>2606</v>
      </c>
      <c r="D674" s="402"/>
      <c r="E674" s="67">
        <v>198370</v>
      </c>
      <c r="F674" s="67" t="s">
        <v>2606</v>
      </c>
      <c r="J674" s="67" t="s">
        <v>793</v>
      </c>
      <c r="K674" s="67" t="s">
        <v>793</v>
      </c>
      <c r="L674" s="67" t="s">
        <v>793</v>
      </c>
      <c r="N674" s="67">
        <v>20.793779373168899</v>
      </c>
      <c r="O674" s="67">
        <v>92.597961425781307</v>
      </c>
      <c r="Q674" s="67" t="s">
        <v>2605</v>
      </c>
      <c r="R674" s="356"/>
      <c r="S674" s="86"/>
      <c r="T674" s="91">
        <v>43580</v>
      </c>
      <c r="U674" s="87" t="s">
        <v>2651</v>
      </c>
      <c r="X674" s="457"/>
      <c r="Y674" s="457"/>
      <c r="Z674" s="457"/>
    </row>
    <row r="675" spans="1:26" s="67" customFormat="1" ht="14.25" customHeight="1">
      <c r="A675" s="353" t="s">
        <v>2626</v>
      </c>
      <c r="B675" s="353" t="s">
        <v>318</v>
      </c>
      <c r="C675" s="353" t="s">
        <v>2486</v>
      </c>
      <c r="D675" s="402"/>
      <c r="E675" s="67">
        <v>198350</v>
      </c>
      <c r="F675" s="67" t="s">
        <v>2487</v>
      </c>
      <c r="J675" s="67" t="s">
        <v>793</v>
      </c>
      <c r="K675" s="67" t="s">
        <v>793</v>
      </c>
      <c r="L675" s="67" t="s">
        <v>793</v>
      </c>
      <c r="M675" s="67" t="s">
        <v>790</v>
      </c>
      <c r="Q675" s="67" t="s">
        <v>2605</v>
      </c>
      <c r="R675" s="85"/>
      <c r="S675" s="86"/>
      <c r="T675" s="91"/>
      <c r="U675" s="87"/>
      <c r="X675" s="457"/>
      <c r="Y675" s="457"/>
      <c r="Z675" s="457"/>
    </row>
    <row r="676" spans="1:26" s="67" customFormat="1" ht="14.25" customHeight="1">
      <c r="A676" s="353" t="s">
        <v>2626</v>
      </c>
      <c r="B676" s="353" t="s">
        <v>318</v>
      </c>
      <c r="C676" s="353" t="s">
        <v>663</v>
      </c>
      <c r="D676" s="402" t="s">
        <v>1635</v>
      </c>
      <c r="E676" s="353">
        <v>198183</v>
      </c>
      <c r="F676" s="353"/>
      <c r="G676" s="353"/>
      <c r="H676" s="353"/>
      <c r="I676" s="353"/>
      <c r="J676" s="353" t="s">
        <v>793</v>
      </c>
      <c r="K676" s="353" t="s">
        <v>793</v>
      </c>
      <c r="L676" s="353" t="s">
        <v>793</v>
      </c>
      <c r="M676" s="353" t="s">
        <v>946</v>
      </c>
      <c r="N676" s="353">
        <v>20.977460860000001</v>
      </c>
      <c r="O676" s="353">
        <v>92.484466549999993</v>
      </c>
      <c r="P676" s="353" t="s">
        <v>794</v>
      </c>
      <c r="Q676" s="353" t="s">
        <v>775</v>
      </c>
      <c r="R676" s="356"/>
      <c r="S676" s="357"/>
      <c r="T676" s="376"/>
      <c r="U676" s="358"/>
      <c r="V676" s="353" t="s">
        <v>663</v>
      </c>
      <c r="W676" s="353"/>
      <c r="X676" s="457"/>
      <c r="Y676" s="457"/>
      <c r="Z676" s="457"/>
    </row>
    <row r="677" spans="1:26" s="67" customFormat="1" ht="14.25" customHeight="1">
      <c r="A677" s="353" t="s">
        <v>2626</v>
      </c>
      <c r="B677" s="353" t="s">
        <v>318</v>
      </c>
      <c r="C677" s="353" t="s">
        <v>662</v>
      </c>
      <c r="D677" s="402"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7"/>
      <c r="Y677" s="457"/>
      <c r="Z677" s="457"/>
    </row>
    <row r="678" spans="1:26" s="67" customFormat="1" ht="14.25" customHeight="1">
      <c r="A678" s="353" t="s">
        <v>2626</v>
      </c>
      <c r="B678" s="353" t="s">
        <v>318</v>
      </c>
      <c r="C678" s="353" t="s">
        <v>633</v>
      </c>
      <c r="D678" s="402" t="s">
        <v>1635</v>
      </c>
      <c r="E678" s="67">
        <v>198313</v>
      </c>
      <c r="J678" s="67" t="s">
        <v>793</v>
      </c>
      <c r="K678" s="67" t="s">
        <v>793</v>
      </c>
      <c r="L678" s="67" t="s">
        <v>793</v>
      </c>
      <c r="M678" s="67" t="s">
        <v>293</v>
      </c>
      <c r="N678" s="67">
        <v>20.849060059999999</v>
      </c>
      <c r="O678" s="67">
        <v>92.497413640000005</v>
      </c>
      <c r="P678" s="67" t="s">
        <v>794</v>
      </c>
      <c r="Q678" s="67" t="s">
        <v>797</v>
      </c>
      <c r="R678" s="356"/>
      <c r="S678" s="86"/>
      <c r="T678" s="91">
        <v>42926</v>
      </c>
      <c r="U678" s="87" t="s">
        <v>928</v>
      </c>
      <c r="W678" s="353"/>
      <c r="X678" s="457"/>
      <c r="Y678" s="457"/>
      <c r="Z678" s="457"/>
    </row>
    <row r="679" spans="1:26" s="67" customFormat="1" ht="14.25" customHeight="1">
      <c r="A679" s="353" t="s">
        <v>2626</v>
      </c>
      <c r="B679" s="353" t="s">
        <v>318</v>
      </c>
      <c r="C679" s="353" t="s">
        <v>639</v>
      </c>
      <c r="D679" s="402" t="s">
        <v>1635</v>
      </c>
      <c r="E679" s="67">
        <v>198301</v>
      </c>
      <c r="J679" s="67" t="s">
        <v>793</v>
      </c>
      <c r="K679" s="67" t="s">
        <v>793</v>
      </c>
      <c r="L679" s="67" t="s">
        <v>793</v>
      </c>
      <c r="M679" s="67" t="s">
        <v>790</v>
      </c>
      <c r="N679" s="67">
        <v>20.876710889999998</v>
      </c>
      <c r="O679" s="67">
        <v>92.537406919999995</v>
      </c>
      <c r="P679" s="67" t="s">
        <v>794</v>
      </c>
      <c r="Q679" s="67" t="s">
        <v>775</v>
      </c>
      <c r="R679" s="356"/>
      <c r="S679" s="86"/>
      <c r="T679" s="91"/>
      <c r="U679" s="358"/>
      <c r="V679" s="67" t="s">
        <v>639</v>
      </c>
      <c r="W679" s="353"/>
      <c r="X679" s="457"/>
      <c r="Y679" s="457"/>
      <c r="Z679" s="457"/>
    </row>
    <row r="680" spans="1:26" s="67" customFormat="1" ht="14.25" customHeight="1">
      <c r="A680" s="353" t="s">
        <v>2626</v>
      </c>
      <c r="B680" s="353" t="s">
        <v>318</v>
      </c>
      <c r="C680" s="353" t="s">
        <v>540</v>
      </c>
      <c r="D680" s="402" t="s">
        <v>1635</v>
      </c>
      <c r="E680" s="67">
        <v>198444</v>
      </c>
      <c r="J680" s="67" t="s">
        <v>793</v>
      </c>
      <c r="K680" s="353" t="s">
        <v>793</v>
      </c>
      <c r="L680" s="353" t="s">
        <v>793</v>
      </c>
      <c r="M680" s="67" t="s">
        <v>790</v>
      </c>
      <c r="N680" s="67">
        <v>20.687610630000002</v>
      </c>
      <c r="O680" s="67">
        <v>92.617988589999996</v>
      </c>
      <c r="P680" s="67" t="s">
        <v>794</v>
      </c>
      <c r="Q680" s="67" t="s">
        <v>775</v>
      </c>
      <c r="R680" s="356"/>
      <c r="S680" s="357"/>
      <c r="T680" s="91"/>
      <c r="U680" s="87"/>
      <c r="V680" s="67" t="s">
        <v>540</v>
      </c>
      <c r="W680" s="353"/>
      <c r="X680" s="457"/>
      <c r="Y680" s="457"/>
      <c r="Z680" s="457"/>
    </row>
    <row r="681" spans="1:26" s="67" customFormat="1" ht="14.25" customHeight="1">
      <c r="A681" s="457" t="s">
        <v>2626</v>
      </c>
      <c r="B681" s="457" t="s">
        <v>318</v>
      </c>
      <c r="C681" s="457" t="s">
        <v>658</v>
      </c>
      <c r="D681" s="402" t="s">
        <v>1635</v>
      </c>
      <c r="E681" s="457">
        <v>217866</v>
      </c>
      <c r="F681" s="457"/>
      <c r="G681" s="457"/>
      <c r="H681" s="457"/>
      <c r="I681" s="457"/>
      <c r="J681" s="67" t="s">
        <v>793</v>
      </c>
      <c r="K681" s="67" t="s">
        <v>793</v>
      </c>
      <c r="L681" s="67" t="s">
        <v>793</v>
      </c>
      <c r="M681" s="457" t="s">
        <v>790</v>
      </c>
      <c r="N681" s="457">
        <v>20.936349870000001</v>
      </c>
      <c r="O681" s="457">
        <v>92.468246460000003</v>
      </c>
      <c r="P681" s="457" t="s">
        <v>794</v>
      </c>
      <c r="Q681" s="457" t="s">
        <v>775</v>
      </c>
      <c r="R681" s="461"/>
      <c r="S681" s="462"/>
      <c r="T681" s="481"/>
      <c r="U681" s="463"/>
      <c r="V681" s="457" t="s">
        <v>658</v>
      </c>
      <c r="W681" s="457"/>
      <c r="X681" s="457"/>
      <c r="Y681" s="457"/>
      <c r="Z681" s="457"/>
    </row>
    <row r="682" spans="1:26" s="67" customFormat="1" ht="14.25" customHeight="1">
      <c r="A682" s="409" t="s">
        <v>2626</v>
      </c>
      <c r="B682" s="417" t="s">
        <v>318</v>
      </c>
      <c r="C682" s="421" t="s">
        <v>608</v>
      </c>
      <c r="D682" s="460" t="s">
        <v>1636</v>
      </c>
      <c r="E682" s="411">
        <v>198336</v>
      </c>
      <c r="F682" s="411" t="s">
        <v>1645</v>
      </c>
      <c r="G682" s="411" t="s">
        <v>1646</v>
      </c>
      <c r="H682" s="411"/>
      <c r="I682" s="411"/>
      <c r="J682" s="353" t="s">
        <v>793</v>
      </c>
      <c r="K682" s="353" t="s">
        <v>793</v>
      </c>
      <c r="L682" s="353" t="s">
        <v>793</v>
      </c>
      <c r="M682" s="411" t="s">
        <v>293</v>
      </c>
      <c r="N682" s="411">
        <v>20.80558014</v>
      </c>
      <c r="O682" s="411">
        <v>92.549842830000003</v>
      </c>
      <c r="P682" s="411" t="s">
        <v>794</v>
      </c>
      <c r="Q682" s="411" t="s">
        <v>797</v>
      </c>
      <c r="R682" s="412"/>
      <c r="S682" s="409"/>
      <c r="T682" s="413">
        <v>42926</v>
      </c>
      <c r="U682" s="414" t="s">
        <v>798</v>
      </c>
      <c r="V682" s="415"/>
      <c r="W682" s="461"/>
      <c r="X682" s="457"/>
      <c r="Y682" s="457"/>
      <c r="Z682" s="457"/>
    </row>
    <row r="683" spans="1:26" s="67" customFormat="1" ht="14.25" customHeight="1">
      <c r="A683" s="353" t="s">
        <v>2626</v>
      </c>
      <c r="B683" s="354" t="s">
        <v>318</v>
      </c>
      <c r="C683" s="354" t="s">
        <v>2649</v>
      </c>
      <c r="D683" s="402"/>
      <c r="E683" s="353">
        <v>198356</v>
      </c>
      <c r="F683" s="353" t="s">
        <v>2657</v>
      </c>
      <c r="G683" s="353"/>
      <c r="H683" s="353"/>
      <c r="I683" s="353"/>
      <c r="J683" s="353" t="s">
        <v>793</v>
      </c>
      <c r="K683" s="353" t="s">
        <v>793</v>
      </c>
      <c r="L683" s="353" t="s">
        <v>793</v>
      </c>
      <c r="M683" s="353"/>
      <c r="N683" s="353">
        <v>20.821479797363299</v>
      </c>
      <c r="O683" s="353">
        <v>92.603950500488295</v>
      </c>
      <c r="P683" s="353"/>
      <c r="Q683" s="353" t="s">
        <v>2605</v>
      </c>
      <c r="R683" s="356"/>
      <c r="S683" s="357"/>
      <c r="T683" s="376">
        <v>43580</v>
      </c>
      <c r="U683" s="358" t="s">
        <v>2651</v>
      </c>
      <c r="V683" s="353"/>
      <c r="W683" s="353"/>
      <c r="X683" s="457"/>
      <c r="Y683" s="457"/>
      <c r="Z683" s="457"/>
    </row>
    <row r="684" spans="1:26" s="67" customFormat="1" ht="14.25" customHeight="1">
      <c r="A684" s="353" t="s">
        <v>2626</v>
      </c>
      <c r="B684" s="354" t="s">
        <v>318</v>
      </c>
      <c r="C684" s="354" t="s">
        <v>619</v>
      </c>
      <c r="D684" s="402" t="s">
        <v>1635</v>
      </c>
      <c r="E684" s="457">
        <v>198356</v>
      </c>
      <c r="F684" s="353"/>
      <c r="G684" s="353"/>
      <c r="H684" s="353"/>
      <c r="I684" s="353"/>
      <c r="J684" s="353" t="s">
        <v>793</v>
      </c>
      <c r="K684" s="353" t="s">
        <v>793</v>
      </c>
      <c r="L684" s="353" t="s">
        <v>793</v>
      </c>
      <c r="M684" s="353" t="s">
        <v>790</v>
      </c>
      <c r="N684" s="353">
        <v>20.821479799999999</v>
      </c>
      <c r="O684" s="353">
        <v>92.603950499999996</v>
      </c>
      <c r="P684" s="353" t="s">
        <v>794</v>
      </c>
      <c r="Q684" s="353" t="s">
        <v>775</v>
      </c>
      <c r="R684" s="356"/>
      <c r="S684" s="357"/>
      <c r="T684" s="376"/>
      <c r="U684" s="358"/>
      <c r="V684" s="353" t="s">
        <v>619</v>
      </c>
      <c r="W684" s="353"/>
      <c r="X684" s="457"/>
      <c r="Y684" s="457"/>
      <c r="Z684" s="457"/>
    </row>
    <row r="685" spans="1:26" s="67" customFormat="1" ht="14.25" customHeight="1">
      <c r="A685" s="353" t="s">
        <v>2626</v>
      </c>
      <c r="B685" s="459" t="s">
        <v>318</v>
      </c>
      <c r="C685" s="459" t="s">
        <v>2601</v>
      </c>
      <c r="D685" s="402"/>
      <c r="E685" s="459">
        <v>198369</v>
      </c>
      <c r="H685" s="353"/>
      <c r="J685" s="67" t="s">
        <v>2632</v>
      </c>
      <c r="K685" s="67" t="s">
        <v>2600</v>
      </c>
      <c r="L685" s="67" t="s">
        <v>2600</v>
      </c>
      <c r="Q685" s="353"/>
      <c r="R685" s="356"/>
      <c r="S685" s="357"/>
      <c r="T685" s="376"/>
      <c r="U685" s="87"/>
      <c r="V685" s="457"/>
      <c r="X685" s="457"/>
      <c r="Y685" s="457"/>
      <c r="Z685" s="457"/>
    </row>
    <row r="686" spans="1:26" s="67" customFormat="1" ht="14.25" customHeight="1">
      <c r="A686" s="353" t="s">
        <v>2626</v>
      </c>
      <c r="B686" s="353" t="s">
        <v>318</v>
      </c>
      <c r="C686" s="348" t="s">
        <v>612</v>
      </c>
      <c r="D686" s="402"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8" t="s">
        <v>612</v>
      </c>
      <c r="X686" s="457"/>
      <c r="Y686" s="457"/>
      <c r="Z686" s="457"/>
    </row>
    <row r="687" spans="1:26" s="67" customFormat="1" ht="14.25" customHeight="1">
      <c r="A687" s="353" t="s">
        <v>2626</v>
      </c>
      <c r="B687" s="457" t="s">
        <v>318</v>
      </c>
      <c r="C687" s="457" t="s">
        <v>603</v>
      </c>
      <c r="D687" s="402" t="s">
        <v>1635</v>
      </c>
      <c r="E687" s="67">
        <v>198368</v>
      </c>
      <c r="F687" s="457"/>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7"/>
      <c r="Y687" s="457"/>
      <c r="Z687" s="457"/>
    </row>
    <row r="688" spans="1:26" s="67" customFormat="1" ht="14.25" customHeight="1">
      <c r="A688" s="353" t="s">
        <v>2626</v>
      </c>
      <c r="B688" s="354" t="s">
        <v>318</v>
      </c>
      <c r="C688" s="354" t="s">
        <v>579</v>
      </c>
      <c r="D688" s="402" t="s">
        <v>1635</v>
      </c>
      <c r="E688" s="67">
        <v>217879</v>
      </c>
      <c r="F688" s="459"/>
      <c r="J688" s="67" t="s">
        <v>793</v>
      </c>
      <c r="K688" s="67" t="s">
        <v>793</v>
      </c>
      <c r="L688" s="67" t="s">
        <v>793</v>
      </c>
      <c r="M688" s="67" t="s">
        <v>293</v>
      </c>
      <c r="N688" s="67">
        <v>20.7494297</v>
      </c>
      <c r="O688" s="67">
        <v>92.528648380000007</v>
      </c>
      <c r="P688" s="67" t="s">
        <v>794</v>
      </c>
      <c r="Q688" s="67" t="s">
        <v>775</v>
      </c>
      <c r="R688" s="85"/>
      <c r="S688" s="357"/>
      <c r="T688" s="91"/>
      <c r="U688" s="87"/>
      <c r="V688" s="67" t="s">
        <v>579</v>
      </c>
      <c r="W688" s="353"/>
      <c r="X688" s="457"/>
      <c r="Y688" s="457"/>
      <c r="Z688" s="457"/>
    </row>
    <row r="689" spans="1:26" s="67" customFormat="1" ht="14.25" customHeight="1">
      <c r="A689" s="353" t="s">
        <v>2626</v>
      </c>
      <c r="B689" s="354" t="s">
        <v>318</v>
      </c>
      <c r="C689" s="354" t="s">
        <v>2500</v>
      </c>
      <c r="D689" s="402"/>
      <c r="E689" s="67">
        <v>198404</v>
      </c>
      <c r="F689" s="353" t="s">
        <v>2611</v>
      </c>
      <c r="J689" s="353" t="s">
        <v>2632</v>
      </c>
      <c r="K689" s="353" t="s">
        <v>2600</v>
      </c>
      <c r="L689" s="67" t="s">
        <v>2600</v>
      </c>
      <c r="M689" s="67" t="s">
        <v>293</v>
      </c>
      <c r="N689" s="67">
        <v>20.769779209999999</v>
      </c>
      <c r="O689" s="67">
        <v>92.604240419999996</v>
      </c>
      <c r="P689" s="67" t="s">
        <v>794</v>
      </c>
      <c r="Q689" s="67" t="s">
        <v>2605</v>
      </c>
      <c r="R689" s="85"/>
      <c r="S689" s="86"/>
      <c r="T689" s="91"/>
      <c r="U689" s="87"/>
      <c r="W689" s="353"/>
      <c r="X689" s="457"/>
      <c r="Y689" s="457"/>
      <c r="Z689" s="457"/>
    </row>
    <row r="690" spans="1:26" s="67" customFormat="1" ht="14.25" customHeight="1">
      <c r="A690" s="353" t="s">
        <v>2626</v>
      </c>
      <c r="B690" s="459" t="s">
        <v>318</v>
      </c>
      <c r="C690" s="459" t="s">
        <v>2502</v>
      </c>
      <c r="D690" s="402"/>
      <c r="E690" s="67">
        <v>198303</v>
      </c>
      <c r="F690" s="67" t="s">
        <v>2612</v>
      </c>
      <c r="J690" s="353" t="s">
        <v>793</v>
      </c>
      <c r="K690" s="353" t="s">
        <v>793</v>
      </c>
      <c r="L690" s="353" t="s">
        <v>793</v>
      </c>
      <c r="M690" s="67" t="s">
        <v>293</v>
      </c>
      <c r="N690" s="67">
        <v>20.892290119999998</v>
      </c>
      <c r="O690" s="67">
        <v>92.550079350000004</v>
      </c>
      <c r="Q690" s="67" t="s">
        <v>2605</v>
      </c>
      <c r="R690" s="356"/>
      <c r="S690" s="86"/>
      <c r="T690" s="91"/>
      <c r="U690" s="87"/>
      <c r="X690" s="457"/>
      <c r="Y690" s="457"/>
      <c r="Z690" s="457"/>
    </row>
    <row r="691" spans="1:26" s="67" customFormat="1" ht="14.25" customHeight="1">
      <c r="A691" s="353" t="s">
        <v>2626</v>
      </c>
      <c r="B691" s="457" t="s">
        <v>318</v>
      </c>
      <c r="C691" s="457" t="s">
        <v>648</v>
      </c>
      <c r="D691" s="402" t="s">
        <v>1635</v>
      </c>
      <c r="E691" s="67">
        <v>198303</v>
      </c>
      <c r="F691" s="67" t="s">
        <v>2612</v>
      </c>
      <c r="J691" s="67" t="s">
        <v>793</v>
      </c>
      <c r="K691" s="67" t="s">
        <v>793</v>
      </c>
      <c r="L691" s="67" t="s">
        <v>793</v>
      </c>
      <c r="M691" s="67" t="s">
        <v>790</v>
      </c>
      <c r="N691" s="67">
        <v>20.892290119999998</v>
      </c>
      <c r="O691" s="67">
        <v>92.550079350000004</v>
      </c>
      <c r="P691" s="67" t="s">
        <v>794</v>
      </c>
      <c r="Q691" s="67" t="s">
        <v>775</v>
      </c>
      <c r="R691" s="461"/>
      <c r="S691" s="462"/>
      <c r="T691" s="91"/>
      <c r="U691" s="87"/>
      <c r="V691" s="67" t="s">
        <v>648</v>
      </c>
      <c r="X691" s="457"/>
      <c r="Y691" s="457"/>
      <c r="Z691" s="457"/>
    </row>
    <row r="692" spans="1:26" s="67" customFormat="1" ht="14.25" customHeight="1">
      <c r="A692" s="353" t="s">
        <v>2626</v>
      </c>
      <c r="B692" s="354" t="s">
        <v>318</v>
      </c>
      <c r="C692" s="354" t="s">
        <v>677</v>
      </c>
      <c r="D692" s="402" t="s">
        <v>1635</v>
      </c>
      <c r="E692" s="67">
        <v>198196</v>
      </c>
      <c r="F692" s="353"/>
      <c r="J692" s="67" t="s">
        <v>793</v>
      </c>
      <c r="K692" s="67" t="s">
        <v>793</v>
      </c>
      <c r="L692" s="67" t="s">
        <v>793</v>
      </c>
      <c r="M692" s="67" t="s">
        <v>293</v>
      </c>
      <c r="N692" s="67">
        <v>21.02563095</v>
      </c>
      <c r="O692" s="67">
        <v>92.524818420000003</v>
      </c>
      <c r="P692" s="67" t="s">
        <v>794</v>
      </c>
      <c r="Q692" s="67" t="s">
        <v>797</v>
      </c>
      <c r="R692" s="360"/>
      <c r="S692" s="361"/>
      <c r="T692" s="91">
        <v>42926</v>
      </c>
      <c r="U692" s="87" t="s">
        <v>798</v>
      </c>
      <c r="W692" s="353"/>
      <c r="X692" s="457"/>
      <c r="Y692" s="457"/>
      <c r="Z692" s="457"/>
    </row>
    <row r="693" spans="1:26" s="67" customFormat="1" ht="14.25" customHeight="1">
      <c r="A693" s="353" t="s">
        <v>2626</v>
      </c>
      <c r="B693" s="459" t="s">
        <v>318</v>
      </c>
      <c r="C693" s="459" t="s">
        <v>641</v>
      </c>
      <c r="D693" s="402" t="s">
        <v>1635</v>
      </c>
      <c r="E693" s="353">
        <v>198292</v>
      </c>
      <c r="F693" s="353"/>
      <c r="J693" s="353" t="s">
        <v>793</v>
      </c>
      <c r="K693" s="353" t="s">
        <v>793</v>
      </c>
      <c r="L693" s="353" t="s">
        <v>793</v>
      </c>
      <c r="M693" s="67" t="s">
        <v>790</v>
      </c>
      <c r="N693" s="67">
        <v>20.883680340000002</v>
      </c>
      <c r="O693" s="67">
        <v>92.569938660000005</v>
      </c>
      <c r="P693" s="67" t="s">
        <v>794</v>
      </c>
      <c r="Q693" s="67" t="s">
        <v>775</v>
      </c>
      <c r="R693" s="465"/>
      <c r="S693" s="466"/>
      <c r="T693" s="91"/>
      <c r="U693" s="358"/>
      <c r="V693" s="67" t="s">
        <v>941</v>
      </c>
      <c r="W693" s="353"/>
      <c r="X693" s="457"/>
      <c r="Y693" s="457"/>
      <c r="Z693" s="457"/>
    </row>
    <row r="694" spans="1:26" s="67" customFormat="1" ht="14.25" customHeight="1">
      <c r="A694" s="353" t="s">
        <v>2626</v>
      </c>
      <c r="B694" s="353" t="s">
        <v>318</v>
      </c>
      <c r="C694" s="353" t="s">
        <v>642</v>
      </c>
      <c r="D694" s="402" t="s">
        <v>1635</v>
      </c>
      <c r="E694" s="353">
        <v>198292</v>
      </c>
      <c r="F694" s="353"/>
      <c r="G694" s="353"/>
      <c r="H694" s="353"/>
      <c r="I694" s="353"/>
      <c r="J694" s="353" t="s">
        <v>793</v>
      </c>
      <c r="K694" s="353" t="s">
        <v>793</v>
      </c>
      <c r="L694" s="353" t="s">
        <v>793</v>
      </c>
      <c r="M694" s="67" t="s">
        <v>790</v>
      </c>
      <c r="N694" s="353">
        <v>20.883680340000002</v>
      </c>
      <c r="O694" s="353">
        <v>92.569938660000005</v>
      </c>
      <c r="P694" s="67" t="s">
        <v>794</v>
      </c>
      <c r="Q694" s="353" t="s">
        <v>775</v>
      </c>
      <c r="R694" s="356"/>
      <c r="S694" s="357"/>
      <c r="T694" s="376">
        <v>42745</v>
      </c>
      <c r="U694" s="358"/>
      <c r="V694" s="353"/>
      <c r="W694" s="353"/>
      <c r="X694" s="457"/>
      <c r="Y694" s="457"/>
      <c r="Z694" s="457"/>
    </row>
    <row r="695" spans="1:26" s="67" customFormat="1" ht="14.25" customHeight="1">
      <c r="A695" s="353" t="s">
        <v>2626</v>
      </c>
      <c r="B695" s="353" t="s">
        <v>318</v>
      </c>
      <c r="C695" s="353" t="s">
        <v>684</v>
      </c>
      <c r="D695" s="402" t="s">
        <v>1635</v>
      </c>
      <c r="E695" s="353">
        <v>198146</v>
      </c>
      <c r="F695" s="353"/>
      <c r="G695" s="353"/>
      <c r="H695" s="353"/>
      <c r="I695" s="353"/>
      <c r="J695" s="353" t="s">
        <v>799</v>
      </c>
      <c r="K695" s="353" t="s">
        <v>793</v>
      </c>
      <c r="L695" s="353" t="s">
        <v>799</v>
      </c>
      <c r="M695" s="353" t="s">
        <v>790</v>
      </c>
      <c r="N695" s="353">
        <v>21.098579409999999</v>
      </c>
      <c r="O695" s="353">
        <v>92.445549009999993</v>
      </c>
      <c r="P695" s="353" t="s">
        <v>918</v>
      </c>
      <c r="Q695" s="353" t="s">
        <v>797</v>
      </c>
      <c r="R695" s="356"/>
      <c r="S695" s="357"/>
      <c r="T695" s="376">
        <v>42926</v>
      </c>
      <c r="U695" s="358" t="s">
        <v>928</v>
      </c>
      <c r="V695" s="353"/>
      <c r="W695" s="353"/>
      <c r="X695" s="457"/>
      <c r="Y695" s="457"/>
      <c r="Z695" s="457"/>
    </row>
    <row r="696" spans="1:26" s="67" customFormat="1" ht="14.25" customHeight="1">
      <c r="A696" s="353" t="s">
        <v>2626</v>
      </c>
      <c r="B696" s="353" t="s">
        <v>318</v>
      </c>
      <c r="C696" s="353" t="s">
        <v>530</v>
      </c>
      <c r="D696" s="402" t="s">
        <v>1635</v>
      </c>
      <c r="E696" s="353">
        <v>217885</v>
      </c>
      <c r="F696" s="353"/>
      <c r="G696" s="353"/>
      <c r="H696" s="353"/>
      <c r="I696" s="353"/>
      <c r="J696" s="353" t="s">
        <v>793</v>
      </c>
      <c r="K696" s="353" t="s">
        <v>793</v>
      </c>
      <c r="L696" s="353" t="s">
        <v>793</v>
      </c>
      <c r="M696" s="67" t="s">
        <v>790</v>
      </c>
      <c r="N696" s="353">
        <v>20.676519389999999</v>
      </c>
      <c r="O696" s="353">
        <v>92.591667180000002</v>
      </c>
      <c r="P696" s="67" t="s">
        <v>794</v>
      </c>
      <c r="Q696" s="353" t="s">
        <v>775</v>
      </c>
      <c r="R696" s="356"/>
      <c r="S696" s="357"/>
      <c r="T696" s="376"/>
      <c r="U696" s="358"/>
      <c r="V696" s="353" t="s">
        <v>530</v>
      </c>
      <c r="W696" s="353"/>
      <c r="X696" s="457"/>
      <c r="Y696" s="457"/>
      <c r="Z696" s="457"/>
    </row>
    <row r="697" spans="1:26" s="67" customFormat="1" ht="14.25" customHeight="1">
      <c r="A697" s="353" t="s">
        <v>2626</v>
      </c>
      <c r="B697" s="353" t="s">
        <v>318</v>
      </c>
      <c r="C697" s="353" t="s">
        <v>659</v>
      </c>
      <c r="D697" s="402" t="s">
        <v>1635</v>
      </c>
      <c r="E697" s="353">
        <v>198164</v>
      </c>
      <c r="F697" s="353"/>
      <c r="G697" s="353"/>
      <c r="H697" s="353"/>
      <c r="I697" s="353"/>
      <c r="J697" s="353" t="s">
        <v>793</v>
      </c>
      <c r="K697" s="353" t="s">
        <v>793</v>
      </c>
      <c r="L697" s="353" t="s">
        <v>793</v>
      </c>
      <c r="M697" s="353" t="s">
        <v>946</v>
      </c>
      <c r="N697" s="353">
        <v>20.945800779999999</v>
      </c>
      <c r="O697" s="353">
        <v>92.471672060000003</v>
      </c>
      <c r="P697" s="353" t="s">
        <v>794</v>
      </c>
      <c r="Q697" s="353" t="s">
        <v>775</v>
      </c>
      <c r="R697" s="356"/>
      <c r="S697" s="357"/>
      <c r="T697" s="376"/>
      <c r="U697" s="358"/>
      <c r="V697" s="353" t="s">
        <v>659</v>
      </c>
      <c r="W697" s="353"/>
      <c r="X697" s="457"/>
      <c r="Y697" s="457"/>
      <c r="Z697" s="457"/>
    </row>
    <row r="698" spans="1:26" s="70" customFormat="1" ht="14.25" customHeight="1">
      <c r="A698" s="353" t="s">
        <v>2626</v>
      </c>
      <c r="B698" s="353" t="s">
        <v>318</v>
      </c>
      <c r="C698" s="353" t="s">
        <v>617</v>
      </c>
      <c r="D698" s="402" t="s">
        <v>1635</v>
      </c>
      <c r="E698" s="67">
        <v>198335</v>
      </c>
      <c r="F698" s="67"/>
      <c r="G698" s="67"/>
      <c r="H698" s="67"/>
      <c r="I698" s="67"/>
      <c r="J698" s="353" t="s">
        <v>793</v>
      </c>
      <c r="K698" s="353" t="s">
        <v>793</v>
      </c>
      <c r="L698" s="353" t="s">
        <v>793</v>
      </c>
      <c r="M698" s="67" t="s">
        <v>293</v>
      </c>
      <c r="N698" s="67">
        <v>20.818910599999999</v>
      </c>
      <c r="O698" s="67">
        <v>92.541358950000003</v>
      </c>
      <c r="P698" s="67" t="s">
        <v>794</v>
      </c>
      <c r="Q698" s="67" t="s">
        <v>775</v>
      </c>
      <c r="R698" s="85"/>
      <c r="S698" s="357"/>
      <c r="T698" s="91"/>
      <c r="U698" s="358"/>
      <c r="V698" s="67" t="s">
        <v>617</v>
      </c>
      <c r="W698" s="67"/>
      <c r="X698" s="459"/>
      <c r="Y698" s="459"/>
      <c r="Z698" s="459"/>
    </row>
    <row r="699" spans="1:26" s="67" customFormat="1" ht="14.25" customHeight="1">
      <c r="A699" s="353" t="s">
        <v>2626</v>
      </c>
      <c r="B699" s="353" t="s">
        <v>318</v>
      </c>
      <c r="C699" s="353" t="s">
        <v>651</v>
      </c>
      <c r="D699" s="402" t="s">
        <v>1635</v>
      </c>
      <c r="E699" s="353">
        <v>198316</v>
      </c>
      <c r="F699" s="353"/>
      <c r="G699" s="353"/>
      <c r="H699" s="353"/>
      <c r="I699" s="353"/>
      <c r="J699" s="67" t="s">
        <v>793</v>
      </c>
      <c r="K699" s="67" t="s">
        <v>793</v>
      </c>
      <c r="L699" s="67" t="s">
        <v>793</v>
      </c>
      <c r="M699" s="353" t="s">
        <v>790</v>
      </c>
      <c r="N699" s="353">
        <v>20.89318085</v>
      </c>
      <c r="O699" s="353">
        <v>92.493637079999999</v>
      </c>
      <c r="P699" s="67" t="s">
        <v>794</v>
      </c>
      <c r="Q699" s="353" t="s">
        <v>775</v>
      </c>
      <c r="R699" s="356"/>
      <c r="S699" s="357"/>
      <c r="T699" s="376"/>
      <c r="U699" s="358"/>
      <c r="V699" s="353" t="s">
        <v>651</v>
      </c>
      <c r="W699" s="353"/>
      <c r="X699" s="457"/>
      <c r="Y699" s="457"/>
      <c r="Z699" s="457"/>
    </row>
    <row r="700" spans="1:26" s="67" customFormat="1" ht="14.25" customHeight="1">
      <c r="A700" s="353" t="s">
        <v>2626</v>
      </c>
      <c r="B700" s="353" t="s">
        <v>318</v>
      </c>
      <c r="C700" s="353" t="s">
        <v>636</v>
      </c>
      <c r="D700" s="402" t="s">
        <v>1635</v>
      </c>
      <c r="E700" s="67">
        <v>198308</v>
      </c>
      <c r="J700" s="67" t="s">
        <v>799</v>
      </c>
      <c r="K700" s="67" t="s">
        <v>793</v>
      </c>
      <c r="L700" s="67" t="s">
        <v>799</v>
      </c>
      <c r="M700" s="67" t="s">
        <v>790</v>
      </c>
      <c r="N700" s="353">
        <v>20.863079070000001</v>
      </c>
      <c r="O700" s="353">
        <v>92.497192380000001</v>
      </c>
      <c r="P700" s="67" t="s">
        <v>918</v>
      </c>
      <c r="Q700" s="67" t="s">
        <v>797</v>
      </c>
      <c r="R700" s="356"/>
      <c r="S700" s="357"/>
      <c r="T700" s="91">
        <v>42926</v>
      </c>
      <c r="U700" s="87" t="s">
        <v>928</v>
      </c>
      <c r="X700" s="457"/>
      <c r="Y700" s="457"/>
      <c r="Z700" s="457"/>
    </row>
    <row r="701" spans="1:26" s="67" customFormat="1" ht="14.25" customHeight="1">
      <c r="A701" s="353" t="s">
        <v>2626</v>
      </c>
      <c r="B701" s="353" t="s">
        <v>318</v>
      </c>
      <c r="C701" s="353" t="s">
        <v>591</v>
      </c>
      <c r="D701" s="402" t="s">
        <v>1635</v>
      </c>
      <c r="E701" s="67">
        <v>220753</v>
      </c>
      <c r="J701" s="353" t="s">
        <v>799</v>
      </c>
      <c r="K701" s="353" t="s">
        <v>793</v>
      </c>
      <c r="L701" s="67" t="s">
        <v>799</v>
      </c>
      <c r="M701" s="67" t="s">
        <v>293</v>
      </c>
      <c r="N701" s="67">
        <v>20.782770159999998</v>
      </c>
      <c r="O701" s="67">
        <v>92.551826480000003</v>
      </c>
      <c r="P701" s="67" t="s">
        <v>918</v>
      </c>
      <c r="Q701" s="67" t="s">
        <v>797</v>
      </c>
      <c r="R701" s="356"/>
      <c r="S701" s="86"/>
      <c r="T701" s="91">
        <v>42926</v>
      </c>
      <c r="U701" s="87" t="s">
        <v>928</v>
      </c>
      <c r="X701" s="457"/>
      <c r="Y701" s="457"/>
      <c r="Z701" s="457"/>
    </row>
    <row r="702" spans="1:26" s="67" customFormat="1" ht="14.25" customHeight="1">
      <c r="A702" s="353" t="s">
        <v>2626</v>
      </c>
      <c r="B702" s="457" t="s">
        <v>318</v>
      </c>
      <c r="C702" s="457" t="s">
        <v>632</v>
      </c>
      <c r="D702" s="402" t="s">
        <v>1635</v>
      </c>
      <c r="E702" s="457">
        <v>198325</v>
      </c>
      <c r="F702" s="457"/>
      <c r="G702" s="457"/>
      <c r="H702" s="457"/>
      <c r="I702" s="457"/>
      <c r="J702" s="353" t="s">
        <v>799</v>
      </c>
      <c r="K702" s="353" t="s">
        <v>793</v>
      </c>
      <c r="L702" s="67" t="s">
        <v>799</v>
      </c>
      <c r="M702" s="457" t="s">
        <v>790</v>
      </c>
      <c r="N702" s="457">
        <v>20.839260100000001</v>
      </c>
      <c r="O702" s="457">
        <v>92.534591669999998</v>
      </c>
      <c r="P702" s="67" t="s">
        <v>918</v>
      </c>
      <c r="Q702" s="457" t="s">
        <v>797</v>
      </c>
      <c r="R702" s="461"/>
      <c r="S702" s="462"/>
      <c r="T702" s="481">
        <v>42926</v>
      </c>
      <c r="U702" s="463" t="s">
        <v>928</v>
      </c>
      <c r="V702" s="457"/>
      <c r="X702" s="457"/>
      <c r="Y702" s="457"/>
      <c r="Z702" s="457"/>
    </row>
    <row r="703" spans="1:26" s="67" customFormat="1" ht="14.25" customHeight="1">
      <c r="A703" s="353" t="s">
        <v>2626</v>
      </c>
      <c r="B703" s="459" t="s">
        <v>318</v>
      </c>
      <c r="C703" s="459" t="s">
        <v>323</v>
      </c>
      <c r="D703" s="403" t="s">
        <v>1635</v>
      </c>
      <c r="E703" s="459"/>
      <c r="F703" s="459"/>
      <c r="G703" s="459"/>
      <c r="H703" s="466"/>
      <c r="I703" s="459"/>
      <c r="J703" s="353" t="s">
        <v>799</v>
      </c>
      <c r="K703" s="353" t="s">
        <v>793</v>
      </c>
      <c r="L703" s="353" t="s">
        <v>799</v>
      </c>
      <c r="M703" s="459" t="s">
        <v>790</v>
      </c>
      <c r="N703" s="459"/>
      <c r="O703" s="459"/>
      <c r="P703" s="67" t="s">
        <v>918</v>
      </c>
      <c r="Q703" s="459" t="s">
        <v>797</v>
      </c>
      <c r="R703" s="465"/>
      <c r="S703" s="466"/>
      <c r="T703" s="482">
        <v>42926</v>
      </c>
      <c r="U703" s="467" t="s">
        <v>928</v>
      </c>
      <c r="V703" s="459"/>
      <c r="X703" s="457"/>
      <c r="Y703" s="457"/>
      <c r="Z703" s="457"/>
    </row>
    <row r="704" spans="1:26" s="67" customFormat="1" ht="14.25" customHeight="1">
      <c r="A704" s="457" t="s">
        <v>2626</v>
      </c>
      <c r="B704" s="457" t="s">
        <v>318</v>
      </c>
      <c r="C704" s="457" t="s">
        <v>567</v>
      </c>
      <c r="D704" s="402" t="s">
        <v>1635</v>
      </c>
      <c r="E704" s="353">
        <v>198432</v>
      </c>
      <c r="F704" s="353"/>
      <c r="G704" s="353"/>
      <c r="H704" s="353"/>
      <c r="I704" s="353"/>
      <c r="J704" s="353" t="s">
        <v>793</v>
      </c>
      <c r="K704" s="353" t="s">
        <v>793</v>
      </c>
      <c r="L704" s="353" t="s">
        <v>793</v>
      </c>
      <c r="M704" s="353" t="s">
        <v>790</v>
      </c>
      <c r="N704" s="353">
        <v>20.721290589999999</v>
      </c>
      <c r="O704" s="353">
        <v>92.605140689999999</v>
      </c>
      <c r="P704" s="353" t="s">
        <v>794</v>
      </c>
      <c r="Q704" s="353" t="s">
        <v>775</v>
      </c>
      <c r="R704" s="461"/>
      <c r="S704" s="357"/>
      <c r="T704" s="376"/>
      <c r="U704" s="463"/>
      <c r="V704" s="353" t="s">
        <v>567</v>
      </c>
      <c r="W704" s="457"/>
      <c r="X704" s="457"/>
      <c r="Y704" s="457"/>
      <c r="Z704" s="457"/>
    </row>
    <row r="705" spans="1:26" s="67" customFormat="1" ht="14.25" customHeight="1">
      <c r="A705" s="465" t="s">
        <v>2626</v>
      </c>
      <c r="B705" s="465" t="s">
        <v>318</v>
      </c>
      <c r="C705" s="466" t="s">
        <v>661</v>
      </c>
      <c r="D705" s="460" t="s">
        <v>1635</v>
      </c>
      <c r="E705" s="67">
        <v>198222</v>
      </c>
      <c r="J705" s="353" t="s">
        <v>799</v>
      </c>
      <c r="K705" s="353" t="s">
        <v>793</v>
      </c>
      <c r="L705" s="67" t="s">
        <v>799</v>
      </c>
      <c r="M705" s="67" t="s">
        <v>790</v>
      </c>
      <c r="N705" s="67">
        <v>20.962799069999999</v>
      </c>
      <c r="O705" s="67">
        <v>92.527702329999997</v>
      </c>
      <c r="P705" s="67" t="s">
        <v>918</v>
      </c>
      <c r="Q705" s="67" t="s">
        <v>797</v>
      </c>
      <c r="R705" s="469"/>
      <c r="S705" s="86"/>
      <c r="T705" s="91">
        <v>42926</v>
      </c>
      <c r="U705" s="469" t="s">
        <v>928</v>
      </c>
      <c r="W705" s="461"/>
      <c r="X705" s="457"/>
      <c r="Y705" s="457"/>
      <c r="Z705" s="457"/>
    </row>
    <row r="706" spans="1:26" s="67" customFormat="1" ht="14.25" customHeight="1">
      <c r="A706" s="353" t="s">
        <v>2626</v>
      </c>
      <c r="B706" s="353" t="s">
        <v>318</v>
      </c>
      <c r="C706" s="353" t="s">
        <v>2742</v>
      </c>
      <c r="D706" s="402"/>
      <c r="E706" s="353">
        <v>198289</v>
      </c>
      <c r="F706" s="353"/>
      <c r="G706" s="353"/>
      <c r="H706" s="353"/>
      <c r="I706" s="353"/>
      <c r="J706" s="353" t="s">
        <v>2632</v>
      </c>
      <c r="K706" s="353" t="s">
        <v>2600</v>
      </c>
      <c r="L706" s="353" t="s">
        <v>2600</v>
      </c>
      <c r="M706" s="353"/>
      <c r="N706" s="353">
        <v>20.838279724121101</v>
      </c>
      <c r="O706" s="353">
        <v>92.610900878906307</v>
      </c>
      <c r="P706" s="353"/>
      <c r="Q706" s="353"/>
      <c r="R706" s="356"/>
      <c r="S706" s="357"/>
      <c r="T706" s="376">
        <v>43591</v>
      </c>
      <c r="U706" s="358"/>
      <c r="V706" s="353"/>
      <c r="W706" s="353"/>
      <c r="X706" s="457"/>
      <c r="Y706" s="457"/>
      <c r="Z706" s="457"/>
    </row>
    <row r="707" spans="1:26" s="67" customFormat="1" ht="14.25" customHeight="1">
      <c r="A707" s="353" t="s">
        <v>2626</v>
      </c>
      <c r="B707" s="457" t="s">
        <v>318</v>
      </c>
      <c r="C707" s="457" t="s">
        <v>601</v>
      </c>
      <c r="D707" s="402" t="s">
        <v>1635</v>
      </c>
      <c r="E707" s="457">
        <v>198379</v>
      </c>
      <c r="F707" s="457"/>
      <c r="G707" s="457"/>
      <c r="H707" s="457"/>
      <c r="I707" s="457"/>
      <c r="J707" s="457" t="s">
        <v>793</v>
      </c>
      <c r="K707" s="457" t="s">
        <v>793</v>
      </c>
      <c r="L707" s="457" t="s">
        <v>793</v>
      </c>
      <c r="M707" s="457" t="s">
        <v>790</v>
      </c>
      <c r="N707" s="457">
        <v>20.79891014</v>
      </c>
      <c r="O707" s="457">
        <v>92.553680420000006</v>
      </c>
      <c r="P707" s="457" t="s">
        <v>794</v>
      </c>
      <c r="Q707" s="457" t="s">
        <v>775</v>
      </c>
      <c r="R707" s="461"/>
      <c r="S707" s="462"/>
      <c r="T707" s="481"/>
      <c r="U707" s="463"/>
      <c r="V707" s="457" t="s">
        <v>601</v>
      </c>
      <c r="W707" s="457"/>
      <c r="X707" s="457"/>
      <c r="Y707" s="457"/>
      <c r="Z707" s="457"/>
    </row>
    <row r="708" spans="1:26" s="67" customFormat="1" ht="14.25" customHeight="1">
      <c r="A708" s="353" t="s">
        <v>2626</v>
      </c>
      <c r="B708" s="175" t="s">
        <v>318</v>
      </c>
      <c r="C708" s="176" t="s">
        <v>630</v>
      </c>
      <c r="D708" s="460" t="s">
        <v>1635</v>
      </c>
      <c r="E708" s="502">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61"/>
      <c r="X708" s="457"/>
      <c r="Y708" s="457"/>
      <c r="Z708" s="457"/>
    </row>
    <row r="709" spans="1:26" s="67" customFormat="1" ht="14.25" customHeight="1">
      <c r="A709" s="353" t="s">
        <v>2626</v>
      </c>
      <c r="B709" s="475" t="s">
        <v>318</v>
      </c>
      <c r="C709" s="474" t="s">
        <v>2499</v>
      </c>
      <c r="D709" s="402"/>
      <c r="E709" s="353">
        <v>198405</v>
      </c>
      <c r="F709" s="475" t="s">
        <v>2611</v>
      </c>
      <c r="G709" s="353"/>
      <c r="H709" s="353"/>
      <c r="I709" s="353"/>
      <c r="J709" s="353" t="s">
        <v>793</v>
      </c>
      <c r="K709" s="353" t="s">
        <v>793</v>
      </c>
      <c r="L709" s="353" t="s">
        <v>793</v>
      </c>
      <c r="M709" s="67" t="s">
        <v>790</v>
      </c>
      <c r="Q709" s="353" t="s">
        <v>2605</v>
      </c>
      <c r="R709" s="476"/>
      <c r="S709" s="477"/>
      <c r="T709" s="376"/>
      <c r="U709" s="358"/>
      <c r="W709" s="353"/>
      <c r="X709" s="457"/>
      <c r="Y709" s="457"/>
      <c r="Z709" s="457"/>
    </row>
    <row r="710" spans="1:26" s="67" customFormat="1" ht="14.25" customHeight="1">
      <c r="A710" s="353" t="s">
        <v>2626</v>
      </c>
      <c r="B710" s="371" t="s">
        <v>318</v>
      </c>
      <c r="C710" s="370" t="s">
        <v>645</v>
      </c>
      <c r="D710" s="402" t="s">
        <v>1635</v>
      </c>
      <c r="E710" s="353">
        <v>217871</v>
      </c>
      <c r="F710" s="459"/>
      <c r="G710" s="353"/>
      <c r="H710" s="353"/>
      <c r="I710" s="353"/>
      <c r="J710" s="353" t="s">
        <v>793</v>
      </c>
      <c r="K710" s="353" t="s">
        <v>793</v>
      </c>
      <c r="L710" s="67" t="s">
        <v>793</v>
      </c>
      <c r="M710" s="353" t="s">
        <v>790</v>
      </c>
      <c r="N710" s="353">
        <v>20.887029649999999</v>
      </c>
      <c r="O710" s="353">
        <v>92.556823730000005</v>
      </c>
      <c r="P710" s="67" t="s">
        <v>794</v>
      </c>
      <c r="Q710" s="353" t="s">
        <v>775</v>
      </c>
      <c r="R710" s="372"/>
      <c r="S710" s="373"/>
      <c r="T710" s="376"/>
      <c r="U710" s="358"/>
      <c r="V710" s="353" t="s">
        <v>645</v>
      </c>
      <c r="X710" s="457"/>
      <c r="Y710" s="457"/>
      <c r="Z710" s="457"/>
    </row>
    <row r="711" spans="1:26" s="67" customFormat="1" ht="14.25" customHeight="1">
      <c r="A711" s="353" t="s">
        <v>2626</v>
      </c>
      <c r="B711" s="371" t="s">
        <v>318</v>
      </c>
      <c r="C711" s="370" t="s">
        <v>1878</v>
      </c>
      <c r="D711" s="402"/>
      <c r="E711" s="67">
        <v>198177</v>
      </c>
      <c r="J711" s="67" t="s">
        <v>793</v>
      </c>
      <c r="K711" s="67" t="s">
        <v>793</v>
      </c>
      <c r="L711" s="67" t="s">
        <v>793</v>
      </c>
      <c r="M711" s="67" t="s">
        <v>946</v>
      </c>
      <c r="N711" s="67">
        <v>20.93604088</v>
      </c>
      <c r="O711" s="67">
        <v>92.475830079999994</v>
      </c>
      <c r="P711" s="67" t="s">
        <v>794</v>
      </c>
      <c r="Q711" s="67" t="s">
        <v>1883</v>
      </c>
      <c r="R711" s="372"/>
      <c r="S711" s="373"/>
      <c r="T711" s="91">
        <v>43245</v>
      </c>
      <c r="U711" s="87"/>
      <c r="X711" s="457"/>
      <c r="Y711" s="457"/>
      <c r="Z711" s="457"/>
    </row>
    <row r="712" spans="1:26" s="67" customFormat="1" ht="14.25" customHeight="1">
      <c r="A712" s="353" t="s">
        <v>2626</v>
      </c>
      <c r="B712" s="371" t="s">
        <v>318</v>
      </c>
      <c r="C712" s="370" t="s">
        <v>2521</v>
      </c>
      <c r="D712" s="402"/>
      <c r="F712" s="353"/>
      <c r="J712" s="67" t="s">
        <v>2632</v>
      </c>
      <c r="K712" s="67" t="s">
        <v>2600</v>
      </c>
      <c r="L712" s="67" t="s">
        <v>2600</v>
      </c>
      <c r="N712" s="353"/>
      <c r="O712" s="353"/>
      <c r="Q712" s="353"/>
      <c r="R712" s="372"/>
      <c r="S712" s="373"/>
      <c r="T712" s="376"/>
      <c r="U712" s="87"/>
      <c r="W712" s="353"/>
      <c r="X712" s="457"/>
      <c r="Y712" s="457"/>
      <c r="Z712" s="457"/>
    </row>
    <row r="713" spans="1:26" s="67" customFormat="1" ht="14.25" customHeight="1">
      <c r="A713" s="353" t="s">
        <v>2626</v>
      </c>
      <c r="B713" s="371" t="s">
        <v>318</v>
      </c>
      <c r="C713" s="370" t="s">
        <v>581</v>
      </c>
      <c r="D713" s="402" t="s">
        <v>1635</v>
      </c>
      <c r="E713" s="67">
        <v>198413</v>
      </c>
      <c r="F713" s="353"/>
      <c r="J713" s="67" t="s">
        <v>793</v>
      </c>
      <c r="K713" s="67" t="s">
        <v>793</v>
      </c>
      <c r="L713" s="67" t="s">
        <v>793</v>
      </c>
      <c r="M713" s="67" t="s">
        <v>293</v>
      </c>
      <c r="N713" s="67">
        <v>20.756410599999999</v>
      </c>
      <c r="O713" s="67">
        <v>92.63580322</v>
      </c>
      <c r="P713" s="67" t="s">
        <v>794</v>
      </c>
      <c r="Q713" s="67" t="s">
        <v>775</v>
      </c>
      <c r="R713" s="372"/>
      <c r="S713" s="373"/>
      <c r="T713" s="91"/>
      <c r="U713" s="87"/>
      <c r="V713" s="67" t="s">
        <v>581</v>
      </c>
      <c r="W713" s="353"/>
      <c r="X713" s="457"/>
      <c r="Y713" s="457"/>
      <c r="Z713" s="457"/>
    </row>
    <row r="714" spans="1:26" s="67" customFormat="1" ht="14.25" customHeight="1">
      <c r="A714" s="353" t="s">
        <v>2626</v>
      </c>
      <c r="B714" s="371" t="s">
        <v>318</v>
      </c>
      <c r="C714" s="370" t="s">
        <v>543</v>
      </c>
      <c r="D714" s="402" t="s">
        <v>1635</v>
      </c>
      <c r="E714" s="67">
        <v>198446</v>
      </c>
      <c r="J714" s="67" t="s">
        <v>793</v>
      </c>
      <c r="K714" s="353" t="s">
        <v>793</v>
      </c>
      <c r="L714" s="353" t="s">
        <v>793</v>
      </c>
      <c r="M714" s="67" t="s">
        <v>293</v>
      </c>
      <c r="N714" s="353">
        <v>20.691099170000001</v>
      </c>
      <c r="O714" s="353">
        <v>92.590652469999995</v>
      </c>
      <c r="P714" s="67" t="s">
        <v>794</v>
      </c>
      <c r="Q714" s="67" t="s">
        <v>775</v>
      </c>
      <c r="R714" s="372"/>
      <c r="S714" s="373"/>
      <c r="T714" s="91"/>
      <c r="U714" s="87"/>
      <c r="V714" s="67" t="s">
        <v>543</v>
      </c>
      <c r="W714" s="353"/>
      <c r="X714" s="457"/>
      <c r="Y714" s="457"/>
      <c r="Z714" s="457"/>
    </row>
    <row r="715" spans="1:26" s="67" customFormat="1" ht="14.25" customHeight="1">
      <c r="A715" s="353" t="s">
        <v>2626</v>
      </c>
      <c r="B715" s="371" t="s">
        <v>318</v>
      </c>
      <c r="C715" s="370" t="s">
        <v>650</v>
      </c>
      <c r="D715" s="402" t="s">
        <v>1635</v>
      </c>
      <c r="E715" s="353">
        <v>198297</v>
      </c>
      <c r="F715" s="353"/>
      <c r="G715" s="353"/>
      <c r="H715" s="353"/>
      <c r="I715" s="353"/>
      <c r="J715" s="353" t="s">
        <v>793</v>
      </c>
      <c r="K715" s="353" t="s">
        <v>793</v>
      </c>
      <c r="L715" s="353" t="s">
        <v>793</v>
      </c>
      <c r="M715" s="353" t="s">
        <v>790</v>
      </c>
      <c r="N715" s="353">
        <v>20.89270973</v>
      </c>
      <c r="O715" s="353">
        <v>92.562187190000003</v>
      </c>
      <c r="P715" s="353" t="s">
        <v>794</v>
      </c>
      <c r="Q715" s="353" t="s">
        <v>775</v>
      </c>
      <c r="R715" s="465"/>
      <c r="S715" s="466"/>
      <c r="T715" s="376"/>
      <c r="U715" s="358"/>
      <c r="V715" s="353" t="s">
        <v>650</v>
      </c>
      <c r="W715" s="353"/>
      <c r="X715" s="457"/>
      <c r="Y715" s="457"/>
      <c r="Z715" s="457"/>
    </row>
    <row r="716" spans="1:26" s="67" customFormat="1" ht="14.25" customHeight="1">
      <c r="A716" s="353" t="s">
        <v>2626</v>
      </c>
      <c r="B716" s="371" t="s">
        <v>318</v>
      </c>
      <c r="C716" s="370" t="s">
        <v>657</v>
      </c>
      <c r="D716" s="402" t="s">
        <v>1635</v>
      </c>
      <c r="E716" s="67">
        <v>198234</v>
      </c>
      <c r="F716" s="353"/>
      <c r="J716" s="67" t="s">
        <v>793</v>
      </c>
      <c r="K716" s="67" t="s">
        <v>793</v>
      </c>
      <c r="L716" s="67" t="s">
        <v>793</v>
      </c>
      <c r="M716" s="67" t="s">
        <v>293</v>
      </c>
      <c r="N716" s="67">
        <v>20.926780699999998</v>
      </c>
      <c r="O716" s="67">
        <v>92.539916989999995</v>
      </c>
      <c r="P716" s="67" t="s">
        <v>794</v>
      </c>
      <c r="Q716" s="67" t="s">
        <v>797</v>
      </c>
      <c r="R716" s="476"/>
      <c r="S716" s="477"/>
      <c r="T716" s="91">
        <v>42926</v>
      </c>
      <c r="U716" s="87" t="s">
        <v>798</v>
      </c>
      <c r="W716" s="353"/>
      <c r="X716" s="457"/>
      <c r="Y716" s="457"/>
      <c r="Z716" s="457"/>
    </row>
    <row r="717" spans="1:26" s="67" customFormat="1" ht="14.25" customHeight="1">
      <c r="A717" s="353" t="s">
        <v>2626</v>
      </c>
      <c r="B717" s="371" t="s">
        <v>318</v>
      </c>
      <c r="C717" s="370" t="s">
        <v>544</v>
      </c>
      <c r="D717" s="402" t="s">
        <v>1635</v>
      </c>
      <c r="E717" s="353">
        <v>198442</v>
      </c>
      <c r="F717" s="353"/>
      <c r="G717" s="353"/>
      <c r="H717" s="353"/>
      <c r="I717" s="353"/>
      <c r="J717" s="353" t="s">
        <v>793</v>
      </c>
      <c r="K717" s="353" t="s">
        <v>793</v>
      </c>
      <c r="L717" s="353" t="s">
        <v>793</v>
      </c>
      <c r="M717" s="353" t="s">
        <v>790</v>
      </c>
      <c r="N717" s="353">
        <v>20.692510599999999</v>
      </c>
      <c r="O717" s="353">
        <v>92.579689029999997</v>
      </c>
      <c r="P717" s="353" t="s">
        <v>794</v>
      </c>
      <c r="Q717" s="353" t="s">
        <v>775</v>
      </c>
      <c r="R717" s="372"/>
      <c r="S717" s="373"/>
      <c r="T717" s="376"/>
      <c r="U717" s="358"/>
      <c r="V717" s="353" t="s">
        <v>544</v>
      </c>
      <c r="W717" s="353"/>
      <c r="X717" s="457"/>
      <c r="Y717" s="457"/>
      <c r="Z717" s="457"/>
    </row>
    <row r="718" spans="1:26" s="67" customFormat="1" ht="14.25" customHeight="1">
      <c r="A718" s="353" t="s">
        <v>2626</v>
      </c>
      <c r="B718" s="371" t="s">
        <v>318</v>
      </c>
      <c r="C718" s="370" t="s">
        <v>643</v>
      </c>
      <c r="D718" s="402" t="s">
        <v>1635</v>
      </c>
      <c r="E718" s="67">
        <v>198302</v>
      </c>
      <c r="J718" s="67" t="s">
        <v>793</v>
      </c>
      <c r="K718" s="67" t="s">
        <v>793</v>
      </c>
      <c r="L718" s="67" t="s">
        <v>793</v>
      </c>
      <c r="M718" s="67" t="s">
        <v>790</v>
      </c>
      <c r="N718" s="67">
        <v>20.884159090000001</v>
      </c>
      <c r="O718" s="67">
        <v>92.551063540000001</v>
      </c>
      <c r="P718" s="67" t="s">
        <v>794</v>
      </c>
      <c r="Q718" s="67" t="s">
        <v>775</v>
      </c>
      <c r="R718" s="465"/>
      <c r="S718" s="466"/>
      <c r="T718" s="91"/>
      <c r="U718" s="87"/>
      <c r="V718" s="67" t="s">
        <v>643</v>
      </c>
      <c r="W718" s="353"/>
      <c r="X718" s="457"/>
      <c r="Y718" s="457"/>
      <c r="Z718" s="457"/>
    </row>
    <row r="719" spans="1:26" s="67" customFormat="1" ht="14.25" customHeight="1">
      <c r="A719" s="353" t="s">
        <v>2626</v>
      </c>
      <c r="B719" s="479" t="s">
        <v>318</v>
      </c>
      <c r="C719" s="478" t="s">
        <v>520</v>
      </c>
      <c r="D719" s="402" t="s">
        <v>1635</v>
      </c>
      <c r="E719" s="353">
        <v>198449</v>
      </c>
      <c r="F719" s="353"/>
      <c r="J719" s="67" t="s">
        <v>793</v>
      </c>
      <c r="K719" s="67" t="s">
        <v>793</v>
      </c>
      <c r="L719" s="67" t="s">
        <v>793</v>
      </c>
      <c r="M719" s="67" t="s">
        <v>790</v>
      </c>
      <c r="N719" s="67">
        <v>20.663370130000001</v>
      </c>
      <c r="O719" s="67">
        <v>92.613876340000004</v>
      </c>
      <c r="P719" s="353" t="s">
        <v>794</v>
      </c>
      <c r="Q719" s="67" t="s">
        <v>775</v>
      </c>
      <c r="R719" s="356"/>
      <c r="S719" s="357"/>
      <c r="T719" s="91"/>
      <c r="U719" s="87"/>
      <c r="V719" s="67" t="s">
        <v>917</v>
      </c>
      <c r="X719" s="457"/>
      <c r="Y719" s="457"/>
      <c r="Z719" s="457"/>
    </row>
    <row r="720" spans="1:26" s="67" customFormat="1" ht="14.25" customHeight="1">
      <c r="A720" s="353" t="s">
        <v>2626</v>
      </c>
      <c r="B720" s="375" t="s">
        <v>318</v>
      </c>
      <c r="C720" s="474" t="s">
        <v>2488</v>
      </c>
      <c r="D720" s="402"/>
      <c r="E720" s="67">
        <v>198351</v>
      </c>
      <c r="F720" s="353" t="s">
        <v>2487</v>
      </c>
      <c r="J720" s="67" t="s">
        <v>793</v>
      </c>
      <c r="K720" s="67" t="s">
        <v>793</v>
      </c>
      <c r="L720" s="67" t="s">
        <v>793</v>
      </c>
      <c r="M720" s="67" t="s">
        <v>790</v>
      </c>
      <c r="Q720" s="67" t="s">
        <v>2605</v>
      </c>
      <c r="R720" s="356"/>
      <c r="S720" s="357"/>
      <c r="T720" s="91"/>
      <c r="U720" s="87"/>
      <c r="X720" s="457"/>
      <c r="Y720" s="457"/>
      <c r="Z720" s="457"/>
    </row>
    <row r="721" spans="1:26" s="67" customFormat="1" ht="14.25" customHeight="1">
      <c r="A721" s="457" t="s">
        <v>2626</v>
      </c>
      <c r="B721" s="479" t="s">
        <v>318</v>
      </c>
      <c r="C721" s="478" t="s">
        <v>573</v>
      </c>
      <c r="D721" s="402" t="s">
        <v>1635</v>
      </c>
      <c r="E721" s="353">
        <v>198400</v>
      </c>
      <c r="F721" s="353"/>
      <c r="J721" s="67" t="s">
        <v>799</v>
      </c>
      <c r="K721" s="67" t="s">
        <v>793</v>
      </c>
      <c r="L721" s="67" t="s">
        <v>799</v>
      </c>
      <c r="M721" s="67" t="s">
        <v>790</v>
      </c>
      <c r="N721" s="353">
        <v>20.733280180000001</v>
      </c>
      <c r="O721" s="353">
        <v>92.601409910000001</v>
      </c>
      <c r="P721" s="67" t="s">
        <v>918</v>
      </c>
      <c r="Q721" s="67" t="s">
        <v>797</v>
      </c>
      <c r="R721" s="461"/>
      <c r="S721" s="357"/>
      <c r="T721" s="376">
        <v>42926</v>
      </c>
      <c r="U721" s="463" t="s">
        <v>928</v>
      </c>
      <c r="W721" s="457"/>
      <c r="X721" s="457"/>
      <c r="Y721" s="457"/>
      <c r="Z721" s="457"/>
    </row>
    <row r="722" spans="1:26" s="67" customFormat="1" ht="14.25" customHeight="1">
      <c r="A722" s="465" t="s">
        <v>2626</v>
      </c>
      <c r="B722" s="476" t="s">
        <v>318</v>
      </c>
      <c r="C722" s="385" t="s">
        <v>583</v>
      </c>
      <c r="D722" s="355" t="s">
        <v>1635</v>
      </c>
      <c r="E722" s="457">
        <v>198408</v>
      </c>
      <c r="F722" s="457"/>
      <c r="G722" s="457"/>
      <c r="H722" s="457"/>
      <c r="I722" s="457"/>
      <c r="J722" s="353" t="s">
        <v>793</v>
      </c>
      <c r="K722" s="353" t="s">
        <v>793</v>
      </c>
      <c r="L722" s="67" t="s">
        <v>793</v>
      </c>
      <c r="M722" s="67" t="s">
        <v>293</v>
      </c>
      <c r="N722" s="457">
        <v>20.76407051</v>
      </c>
      <c r="O722" s="353">
        <v>92.631126399999999</v>
      </c>
      <c r="P722" s="67" t="s">
        <v>794</v>
      </c>
      <c r="Q722" s="457" t="s">
        <v>775</v>
      </c>
      <c r="R722" s="469"/>
      <c r="S722" s="462"/>
      <c r="T722" s="481"/>
      <c r="U722" s="469"/>
      <c r="V722" s="67" t="s">
        <v>583</v>
      </c>
      <c r="W722" s="356"/>
      <c r="X722" s="457"/>
      <c r="Y722" s="457"/>
      <c r="Z722" s="457"/>
    </row>
    <row r="723" spans="1:26" s="67" customFormat="1" ht="14.25" customHeight="1">
      <c r="A723" s="409" t="s">
        <v>2626</v>
      </c>
      <c r="B723" s="418" t="s">
        <v>318</v>
      </c>
      <c r="C723" s="422" t="s">
        <v>2699</v>
      </c>
      <c r="D723" s="460"/>
      <c r="E723" s="411">
        <v>198401</v>
      </c>
      <c r="F723" s="411"/>
      <c r="G723" s="411"/>
      <c r="H723" s="411"/>
      <c r="I723" s="411"/>
      <c r="J723" s="67" t="s">
        <v>2632</v>
      </c>
      <c r="K723" s="67" t="s">
        <v>2600</v>
      </c>
      <c r="L723" s="67" t="s">
        <v>2600</v>
      </c>
      <c r="N723" s="411">
        <v>20.765670776367202</v>
      </c>
      <c r="O723" s="67">
        <v>92.577812194824205</v>
      </c>
      <c r="Q723" s="411"/>
      <c r="R723" s="412"/>
      <c r="S723" s="409"/>
      <c r="T723" s="413">
        <v>43591</v>
      </c>
      <c r="U723" s="414"/>
      <c r="W723" s="461"/>
      <c r="X723" s="457"/>
      <c r="Y723" s="457"/>
      <c r="Z723" s="457"/>
    </row>
    <row r="724" spans="1:26" s="67" customFormat="1" ht="14.25" customHeight="1">
      <c r="A724" s="353" t="s">
        <v>2626</v>
      </c>
      <c r="B724" s="479" t="s">
        <v>318</v>
      </c>
      <c r="C724" s="478" t="s">
        <v>571</v>
      </c>
      <c r="D724" s="402"/>
      <c r="E724" s="353">
        <v>198418</v>
      </c>
      <c r="F724" s="67" t="s">
        <v>571</v>
      </c>
      <c r="J724" s="353" t="s">
        <v>793</v>
      </c>
      <c r="K724" s="353" t="s">
        <v>793</v>
      </c>
      <c r="L724" s="67" t="s">
        <v>793</v>
      </c>
      <c r="M724" s="67" t="s">
        <v>293</v>
      </c>
      <c r="N724" s="353">
        <v>20.7264194488525</v>
      </c>
      <c r="O724" s="353">
        <v>92.671180730000003</v>
      </c>
      <c r="P724" s="67" t="s">
        <v>794</v>
      </c>
      <c r="Q724" s="67" t="s">
        <v>2605</v>
      </c>
      <c r="R724" s="356"/>
      <c r="S724" s="357"/>
      <c r="T724" s="91">
        <v>43580</v>
      </c>
      <c r="U724" s="87" t="s">
        <v>2651</v>
      </c>
      <c r="V724" s="67" t="s">
        <v>571</v>
      </c>
      <c r="X724" s="457"/>
      <c r="Y724" s="457"/>
      <c r="Z724" s="457"/>
    </row>
    <row r="725" spans="1:26" s="67" customFormat="1" ht="14.25" customHeight="1">
      <c r="A725" s="353" t="s">
        <v>2626</v>
      </c>
      <c r="B725" s="475" t="s">
        <v>318</v>
      </c>
      <c r="C725" s="474" t="s">
        <v>532</v>
      </c>
      <c r="D725" s="402" t="s">
        <v>1635</v>
      </c>
      <c r="E725" s="67">
        <v>217886</v>
      </c>
      <c r="J725" s="67" t="s">
        <v>793</v>
      </c>
      <c r="K725" s="353" t="s">
        <v>793</v>
      </c>
      <c r="L725" s="353" t="s">
        <v>793</v>
      </c>
      <c r="M725" s="67" t="s">
        <v>790</v>
      </c>
      <c r="N725" s="353">
        <v>20.678150179999999</v>
      </c>
      <c r="O725" s="353">
        <v>92.587867739999993</v>
      </c>
      <c r="P725" s="67" t="s">
        <v>794</v>
      </c>
      <c r="Q725" s="67" t="s">
        <v>775</v>
      </c>
      <c r="R725" s="356"/>
      <c r="S725" s="357"/>
      <c r="T725" s="91"/>
      <c r="U725" s="87"/>
      <c r="V725" s="67" t="s">
        <v>532</v>
      </c>
      <c r="W725" s="353"/>
      <c r="X725" s="457"/>
      <c r="Y725" s="457"/>
      <c r="Z725" s="457"/>
    </row>
    <row r="726" spans="1:26" s="67" customFormat="1" ht="14.25" customHeight="1">
      <c r="A726" s="353" t="s">
        <v>2626</v>
      </c>
      <c r="B726" s="479" t="s">
        <v>318</v>
      </c>
      <c r="C726" s="478" t="s">
        <v>590</v>
      </c>
      <c r="D726" s="402" t="s">
        <v>1635</v>
      </c>
      <c r="E726" s="67">
        <v>198388</v>
      </c>
      <c r="J726" s="67" t="s">
        <v>793</v>
      </c>
      <c r="K726" s="353" t="s">
        <v>793</v>
      </c>
      <c r="L726" s="353" t="s">
        <v>793</v>
      </c>
      <c r="M726" s="67" t="s">
        <v>293</v>
      </c>
      <c r="N726" s="67">
        <v>20.782770159999998</v>
      </c>
      <c r="O726" s="67">
        <v>92.551826480000003</v>
      </c>
      <c r="P726" s="67" t="s">
        <v>794</v>
      </c>
      <c r="Q726" s="67" t="s">
        <v>797</v>
      </c>
      <c r="R726" s="356"/>
      <c r="S726" s="357"/>
      <c r="T726" s="91">
        <v>42926</v>
      </c>
      <c r="U726" s="87" t="s">
        <v>798</v>
      </c>
      <c r="X726" s="457"/>
      <c r="Y726" s="457"/>
      <c r="Z726" s="457"/>
    </row>
    <row r="727" spans="1:26" s="67" customFormat="1" ht="14.25" customHeight="1">
      <c r="A727" s="353" t="s">
        <v>2626</v>
      </c>
      <c r="B727" s="475" t="s">
        <v>318</v>
      </c>
      <c r="C727" s="474" t="s">
        <v>2490</v>
      </c>
      <c r="D727" s="402"/>
      <c r="F727" s="67" t="s">
        <v>2607</v>
      </c>
      <c r="J727" s="67" t="s">
        <v>793</v>
      </c>
      <c r="K727" s="353" t="s">
        <v>793</v>
      </c>
      <c r="L727" s="353" t="s">
        <v>793</v>
      </c>
      <c r="M727" s="67" t="s">
        <v>790</v>
      </c>
      <c r="Q727" s="67" t="s">
        <v>2605</v>
      </c>
      <c r="R727" s="356"/>
      <c r="S727" s="357"/>
      <c r="T727" s="91"/>
      <c r="U727" s="87"/>
      <c r="X727" s="457"/>
      <c r="Y727" s="457"/>
      <c r="Z727" s="457"/>
    </row>
    <row r="728" spans="1:26" s="67" customFormat="1" ht="14.25" customHeight="1">
      <c r="A728" s="353" t="s">
        <v>2626</v>
      </c>
      <c r="B728" s="371" t="s">
        <v>318</v>
      </c>
      <c r="C728" s="370" t="s">
        <v>585</v>
      </c>
      <c r="D728" s="402" t="s">
        <v>1635</v>
      </c>
      <c r="E728" s="67">
        <v>198409</v>
      </c>
      <c r="F728" s="67" t="s">
        <v>2613</v>
      </c>
      <c r="J728" s="67" t="s">
        <v>793</v>
      </c>
      <c r="K728" s="67" t="s">
        <v>793</v>
      </c>
      <c r="L728" s="67" t="s">
        <v>793</v>
      </c>
      <c r="M728" s="67" t="s">
        <v>293</v>
      </c>
      <c r="N728" s="67">
        <v>20.767719270000001</v>
      </c>
      <c r="O728" s="67">
        <v>92.631736759999995</v>
      </c>
      <c r="P728" s="67" t="s">
        <v>794</v>
      </c>
      <c r="Q728" s="67" t="s">
        <v>2605</v>
      </c>
      <c r="R728" s="356"/>
      <c r="S728" s="357"/>
      <c r="T728" s="91"/>
      <c r="U728" s="87"/>
      <c r="V728" s="67" t="s">
        <v>585</v>
      </c>
      <c r="X728" s="457"/>
      <c r="Y728" s="457"/>
      <c r="Z728" s="457"/>
    </row>
    <row r="729" spans="1:26" s="67" customFormat="1" ht="14.25" customHeight="1">
      <c r="A729" s="353" t="s">
        <v>2626</v>
      </c>
      <c r="B729" s="371" t="s">
        <v>318</v>
      </c>
      <c r="C729" s="370" t="s">
        <v>2761</v>
      </c>
      <c r="D729" s="402"/>
      <c r="E729" s="67">
        <v>198362</v>
      </c>
      <c r="J729" s="67" t="s">
        <v>2632</v>
      </c>
      <c r="K729" s="67" t="s">
        <v>2600</v>
      </c>
      <c r="L729" s="67" t="s">
        <v>2600</v>
      </c>
      <c r="R729" s="356"/>
      <c r="S729" s="357"/>
      <c r="T729" s="91"/>
      <c r="U729" s="87"/>
      <c r="W729" s="353"/>
      <c r="X729" s="457"/>
      <c r="Y729" s="457"/>
      <c r="Z729" s="457"/>
    </row>
    <row r="730" spans="1:26" s="67" customFormat="1" ht="14.25" customHeight="1">
      <c r="A730" s="353" t="s">
        <v>2626</v>
      </c>
      <c r="B730" s="371" t="s">
        <v>318</v>
      </c>
      <c r="C730" s="370" t="s">
        <v>654</v>
      </c>
      <c r="D730" s="402" t="s">
        <v>1635</v>
      </c>
      <c r="E730" s="67">
        <v>198318</v>
      </c>
      <c r="J730" s="67" t="s">
        <v>793</v>
      </c>
      <c r="K730" s="67" t="s">
        <v>793</v>
      </c>
      <c r="L730" s="67" t="s">
        <v>793</v>
      </c>
      <c r="M730" s="67" t="s">
        <v>790</v>
      </c>
      <c r="N730" s="67">
        <v>20.895900730000001</v>
      </c>
      <c r="O730" s="67">
        <v>92.497329710000002</v>
      </c>
      <c r="P730" s="67" t="s">
        <v>794</v>
      </c>
      <c r="Q730" s="67" t="s">
        <v>775</v>
      </c>
      <c r="R730" s="356"/>
      <c r="S730" s="357"/>
      <c r="T730" s="91"/>
      <c r="U730" s="87"/>
      <c r="V730" s="67" t="s">
        <v>654</v>
      </c>
      <c r="X730" s="457"/>
      <c r="Y730" s="457"/>
      <c r="Z730" s="457"/>
    </row>
    <row r="731" spans="1:26" s="67" customFormat="1" ht="14.25" customHeight="1">
      <c r="A731" s="353" t="s">
        <v>2626</v>
      </c>
      <c r="B731" s="371" t="s">
        <v>318</v>
      </c>
      <c r="C731" s="370" t="s">
        <v>640</v>
      </c>
      <c r="D731" s="402" t="s">
        <v>1635</v>
      </c>
      <c r="E731" s="67">
        <v>198299</v>
      </c>
      <c r="J731" s="67" t="s">
        <v>793</v>
      </c>
      <c r="K731" s="67" t="s">
        <v>793</v>
      </c>
      <c r="L731" s="67" t="s">
        <v>793</v>
      </c>
      <c r="M731" s="67" t="s">
        <v>790</v>
      </c>
      <c r="N731" s="67">
        <v>20.88254929</v>
      </c>
      <c r="O731" s="67">
        <v>92.551338200000004</v>
      </c>
      <c r="P731" s="67" t="s">
        <v>794</v>
      </c>
      <c r="Q731" s="67" t="s">
        <v>775</v>
      </c>
      <c r="R731" s="356"/>
      <c r="S731" s="357"/>
      <c r="T731" s="91"/>
      <c r="U731" s="87"/>
      <c r="V731" s="67" t="s">
        <v>940</v>
      </c>
      <c r="W731" s="353"/>
      <c r="X731" s="457"/>
      <c r="Y731" s="457"/>
      <c r="Z731" s="457"/>
    </row>
    <row r="732" spans="1:26" s="67" customFormat="1" ht="14.25" customHeight="1">
      <c r="A732" s="353" t="s">
        <v>2626</v>
      </c>
      <c r="B732" s="371" t="s">
        <v>318</v>
      </c>
      <c r="C732" s="370" t="s">
        <v>521</v>
      </c>
      <c r="D732" s="402" t="s">
        <v>1635</v>
      </c>
      <c r="E732" s="67">
        <v>198451</v>
      </c>
      <c r="J732" s="67" t="s">
        <v>793</v>
      </c>
      <c r="K732" s="67" t="s">
        <v>793</v>
      </c>
      <c r="L732" s="67" t="s">
        <v>793</v>
      </c>
      <c r="M732" s="67" t="s">
        <v>790</v>
      </c>
      <c r="N732" s="67">
        <v>20.663879390000002</v>
      </c>
      <c r="O732" s="67">
        <v>92.609306340000003</v>
      </c>
      <c r="P732" s="67" t="s">
        <v>794</v>
      </c>
      <c r="Q732" s="67" t="s">
        <v>775</v>
      </c>
      <c r="R732" s="356"/>
      <c r="S732" s="357"/>
      <c r="T732" s="91"/>
      <c r="U732" s="87"/>
      <c r="V732" s="67" t="s">
        <v>521</v>
      </c>
      <c r="W732" s="353"/>
      <c r="X732" s="457"/>
      <c r="Y732" s="457"/>
      <c r="Z732" s="457"/>
    </row>
    <row r="733" spans="1:26" s="67" customFormat="1" ht="14.25" customHeight="1">
      <c r="A733" s="353" t="s">
        <v>2626</v>
      </c>
      <c r="B733" s="371" t="s">
        <v>318</v>
      </c>
      <c r="C733" s="370" t="s">
        <v>523</v>
      </c>
      <c r="D733" s="402" t="s">
        <v>1635</v>
      </c>
      <c r="E733" s="353">
        <v>198452</v>
      </c>
      <c r="J733" s="67" t="s">
        <v>793</v>
      </c>
      <c r="K733" s="353" t="s">
        <v>793</v>
      </c>
      <c r="L733" s="353" t="s">
        <v>793</v>
      </c>
      <c r="M733" s="67" t="s">
        <v>293</v>
      </c>
      <c r="N733" s="67">
        <v>20.667749400000002</v>
      </c>
      <c r="O733" s="67">
        <v>92.608650209999993</v>
      </c>
      <c r="P733" s="67" t="s">
        <v>794</v>
      </c>
      <c r="Q733" s="67" t="s">
        <v>775</v>
      </c>
      <c r="R733" s="356"/>
      <c r="S733" s="86"/>
      <c r="T733" s="376"/>
      <c r="U733" s="87"/>
      <c r="V733" s="67" t="s">
        <v>523</v>
      </c>
      <c r="W733" s="353"/>
      <c r="X733" s="457"/>
      <c r="Y733" s="457"/>
      <c r="Z733" s="457"/>
    </row>
    <row r="734" spans="1:26" s="67" customFormat="1" ht="14.25" customHeight="1">
      <c r="A734" s="353" t="s">
        <v>2626</v>
      </c>
      <c r="B734" s="371" t="s">
        <v>318</v>
      </c>
      <c r="C734" s="370" t="s">
        <v>597</v>
      </c>
      <c r="D734" s="402" t="s">
        <v>1635</v>
      </c>
      <c r="E734" s="353">
        <v>198380</v>
      </c>
      <c r="F734" s="353"/>
      <c r="G734" s="353"/>
      <c r="H734" s="353"/>
      <c r="I734" s="353"/>
      <c r="J734" s="67" t="s">
        <v>793</v>
      </c>
      <c r="K734" s="353" t="s">
        <v>793</v>
      </c>
      <c r="L734" s="353" t="s">
        <v>793</v>
      </c>
      <c r="M734" s="67" t="s">
        <v>790</v>
      </c>
      <c r="N734" s="67">
        <v>20.787410739999999</v>
      </c>
      <c r="O734" s="67">
        <v>92.55155182</v>
      </c>
      <c r="P734" s="67" t="s">
        <v>794</v>
      </c>
      <c r="Q734" s="67" t="s">
        <v>775</v>
      </c>
      <c r="R734" s="356"/>
      <c r="S734" s="357"/>
      <c r="T734" s="376"/>
      <c r="U734" s="87"/>
      <c r="V734" s="67" t="s">
        <v>597</v>
      </c>
      <c r="X734" s="457"/>
      <c r="Y734" s="457"/>
      <c r="Z734" s="457"/>
    </row>
    <row r="735" spans="1:26" s="67" customFormat="1" ht="14.25" customHeight="1">
      <c r="A735" s="462" t="s">
        <v>2626</v>
      </c>
      <c r="B735" s="476" t="s">
        <v>318</v>
      </c>
      <c r="C735" s="385" t="s">
        <v>599</v>
      </c>
      <c r="D735" s="460" t="s">
        <v>1635</v>
      </c>
      <c r="E735" s="67">
        <v>198378</v>
      </c>
      <c r="J735" s="67" t="s">
        <v>793</v>
      </c>
      <c r="K735" s="67" t="s">
        <v>793</v>
      </c>
      <c r="L735" s="67" t="s">
        <v>793</v>
      </c>
      <c r="M735" s="67" t="s">
        <v>790</v>
      </c>
      <c r="N735" s="67">
        <v>20.791679380000001</v>
      </c>
      <c r="O735" s="67">
        <v>92.550903320000003</v>
      </c>
      <c r="P735" s="67" t="s">
        <v>794</v>
      </c>
      <c r="Q735" s="353" t="s">
        <v>775</v>
      </c>
      <c r="R735" s="469"/>
      <c r="S735" s="357"/>
      <c r="T735" s="376"/>
      <c r="U735" s="469"/>
      <c r="V735" s="67" t="s">
        <v>599</v>
      </c>
      <c r="W735" s="461"/>
      <c r="X735" s="457"/>
      <c r="Y735" s="457"/>
      <c r="Z735" s="457"/>
    </row>
    <row r="736" spans="1:26" s="67" customFormat="1" ht="14.25" customHeight="1">
      <c r="A736" s="353" t="s">
        <v>2626</v>
      </c>
      <c r="B736" s="371" t="s">
        <v>318</v>
      </c>
      <c r="C736" s="370" t="s">
        <v>2787</v>
      </c>
      <c r="D736" s="402"/>
      <c r="E736" s="353">
        <v>198407</v>
      </c>
      <c r="F736" s="353"/>
      <c r="G736" s="353"/>
      <c r="H736" s="353"/>
      <c r="I736" s="353"/>
      <c r="J736" s="353" t="s">
        <v>793</v>
      </c>
      <c r="K736" s="353" t="s">
        <v>793</v>
      </c>
      <c r="L736" s="353" t="s">
        <v>793</v>
      </c>
      <c r="M736" s="353" t="s">
        <v>790</v>
      </c>
      <c r="N736" s="353">
        <v>20.775840759277301</v>
      </c>
      <c r="O736" s="353">
        <v>92.613082885742202</v>
      </c>
      <c r="P736" s="353" t="s">
        <v>794</v>
      </c>
      <c r="Q736" s="353"/>
      <c r="R736" s="356"/>
      <c r="S736" s="357"/>
      <c r="T736" s="376"/>
      <c r="U736" s="358"/>
      <c r="V736" s="353" t="s">
        <v>588</v>
      </c>
      <c r="W736" s="353"/>
      <c r="X736" s="457"/>
      <c r="Y736" s="457"/>
      <c r="Z736" s="457"/>
    </row>
    <row r="737" spans="1:26" s="67" customFormat="1" ht="14.25" customHeight="1">
      <c r="A737" s="353" t="s">
        <v>2626</v>
      </c>
      <c r="B737" s="371" t="s">
        <v>318</v>
      </c>
      <c r="C737" s="370" t="s">
        <v>2492</v>
      </c>
      <c r="D737" s="402"/>
      <c r="E737" s="67">
        <v>198337</v>
      </c>
      <c r="F737" s="67" t="s">
        <v>608</v>
      </c>
      <c r="J737" s="67" t="s">
        <v>793</v>
      </c>
      <c r="K737" s="67" t="s">
        <v>793</v>
      </c>
      <c r="L737" s="67" t="s">
        <v>793</v>
      </c>
      <c r="M737" s="67" t="s">
        <v>293</v>
      </c>
      <c r="Q737" s="67" t="s">
        <v>2605</v>
      </c>
      <c r="R737" s="356"/>
      <c r="S737" s="357"/>
      <c r="T737" s="91"/>
      <c r="U737" s="87"/>
      <c r="X737" s="457"/>
      <c r="Y737" s="457"/>
      <c r="Z737" s="457"/>
    </row>
    <row r="738" spans="1:26" s="67" customFormat="1" ht="14.25" customHeight="1">
      <c r="A738" s="353" t="s">
        <v>2626</v>
      </c>
      <c r="B738" s="371" t="s">
        <v>318</v>
      </c>
      <c r="C738" s="370" t="s">
        <v>552</v>
      </c>
      <c r="D738" s="402" t="s">
        <v>1635</v>
      </c>
      <c r="E738" s="353">
        <v>198423</v>
      </c>
      <c r="F738" s="353"/>
      <c r="G738" s="353"/>
      <c r="H738" s="353"/>
      <c r="I738" s="353"/>
      <c r="J738" s="353" t="s">
        <v>793</v>
      </c>
      <c r="K738" s="353" t="s">
        <v>793</v>
      </c>
      <c r="L738" s="353" t="s">
        <v>793</v>
      </c>
      <c r="M738" s="353" t="s">
        <v>293</v>
      </c>
      <c r="N738" s="353">
        <v>20.707460399999999</v>
      </c>
      <c r="O738" s="353">
        <v>92.680862430000005</v>
      </c>
      <c r="P738" s="353" t="s">
        <v>794</v>
      </c>
      <c r="Q738" s="353" t="s">
        <v>775</v>
      </c>
      <c r="R738" s="356"/>
      <c r="S738" s="357"/>
      <c r="T738" s="376"/>
      <c r="U738" s="358"/>
      <c r="V738" s="353" t="s">
        <v>552</v>
      </c>
      <c r="W738" s="353"/>
      <c r="X738" s="457"/>
      <c r="Y738" s="457"/>
      <c r="Z738" s="457"/>
    </row>
    <row r="739" spans="1:26" s="67" customFormat="1" ht="14.25" customHeight="1">
      <c r="A739" s="353" t="s">
        <v>2626</v>
      </c>
      <c r="B739" s="479" t="s">
        <v>318</v>
      </c>
      <c r="C739" s="478" t="s">
        <v>2491</v>
      </c>
      <c r="D739" s="402"/>
      <c r="E739" s="67">
        <v>198363</v>
      </c>
      <c r="F739" s="67" t="s">
        <v>2607</v>
      </c>
      <c r="J739" s="67" t="s">
        <v>793</v>
      </c>
      <c r="K739" s="67" t="s">
        <v>793</v>
      </c>
      <c r="L739" s="67" t="s">
        <v>793</v>
      </c>
      <c r="M739" s="67" t="s">
        <v>293</v>
      </c>
      <c r="Q739" s="67" t="s">
        <v>2605</v>
      </c>
      <c r="R739" s="356"/>
      <c r="S739" s="357"/>
      <c r="T739" s="91"/>
      <c r="U739" s="87"/>
      <c r="X739" s="457"/>
      <c r="Y739" s="457"/>
      <c r="Z739" s="457"/>
    </row>
    <row r="740" spans="1:26" s="67" customFormat="1" ht="14.25" customHeight="1">
      <c r="A740" s="353" t="s">
        <v>2626</v>
      </c>
      <c r="B740" s="371" t="s">
        <v>318</v>
      </c>
      <c r="C740" s="370" t="s">
        <v>582</v>
      </c>
      <c r="D740" s="402" t="s">
        <v>1635</v>
      </c>
      <c r="E740" s="67">
        <v>198391</v>
      </c>
      <c r="J740" s="67" t="s">
        <v>793</v>
      </c>
      <c r="K740" s="353" t="s">
        <v>793</v>
      </c>
      <c r="L740" s="353" t="s">
        <v>793</v>
      </c>
      <c r="M740" s="67" t="s">
        <v>790</v>
      </c>
      <c r="N740" s="67">
        <v>20.761529920000001</v>
      </c>
      <c r="O740" s="67">
        <v>92.544082639999999</v>
      </c>
      <c r="P740" s="67" t="s">
        <v>794</v>
      </c>
      <c r="Q740" s="67" t="s">
        <v>775</v>
      </c>
      <c r="R740" s="85"/>
      <c r="S740" s="357"/>
      <c r="T740" s="91"/>
      <c r="U740" s="87"/>
      <c r="V740" s="67" t="s">
        <v>582</v>
      </c>
      <c r="W740" s="353"/>
      <c r="X740" s="457"/>
      <c r="Y740" s="457"/>
      <c r="Z740" s="457"/>
    </row>
    <row r="741" spans="1:26" s="67" customFormat="1" ht="14.25" customHeight="1">
      <c r="A741" s="353" t="s">
        <v>2626</v>
      </c>
      <c r="B741" s="475" t="s">
        <v>318</v>
      </c>
      <c r="C741" s="474" t="s">
        <v>541</v>
      </c>
      <c r="D741" s="402" t="s">
        <v>1635</v>
      </c>
      <c r="E741" s="457">
        <v>198421</v>
      </c>
      <c r="F741" s="457"/>
      <c r="G741" s="457"/>
      <c r="H741" s="457"/>
      <c r="I741" s="457"/>
      <c r="J741" s="457" t="s">
        <v>793</v>
      </c>
      <c r="K741" s="457" t="s">
        <v>793</v>
      </c>
      <c r="L741" s="457" t="s">
        <v>793</v>
      </c>
      <c r="M741" s="457" t="s">
        <v>293</v>
      </c>
      <c r="N741" s="457">
        <v>20.688310619999999</v>
      </c>
      <c r="O741" s="457">
        <v>92.696960450000006</v>
      </c>
      <c r="P741" s="457" t="s">
        <v>794</v>
      </c>
      <c r="Q741" s="457" t="s">
        <v>775</v>
      </c>
      <c r="R741" s="461"/>
      <c r="S741" s="462"/>
      <c r="T741" s="481"/>
      <c r="U741" s="463"/>
      <c r="V741" s="457" t="s">
        <v>541</v>
      </c>
      <c r="W741" s="457"/>
      <c r="X741" s="457"/>
      <c r="Y741" s="457"/>
      <c r="Z741" s="457"/>
    </row>
    <row r="742" spans="1:26" s="67" customFormat="1" ht="14.25" customHeight="1">
      <c r="A742" s="457" t="s">
        <v>2626</v>
      </c>
      <c r="B742" s="475" t="s">
        <v>318</v>
      </c>
      <c r="C742" s="474" t="s">
        <v>2501</v>
      </c>
      <c r="D742" s="402" t="s">
        <v>1635</v>
      </c>
      <c r="E742" s="67">
        <v>198300</v>
      </c>
      <c r="F742" s="353" t="s">
        <v>2612</v>
      </c>
      <c r="J742" s="67" t="s">
        <v>793</v>
      </c>
      <c r="K742" s="353" t="s">
        <v>793</v>
      </c>
      <c r="L742" s="353" t="s">
        <v>793</v>
      </c>
      <c r="M742" s="67" t="s">
        <v>293</v>
      </c>
      <c r="N742" s="67">
        <v>20.887420649999999</v>
      </c>
      <c r="O742" s="67">
        <v>92.545410160000003</v>
      </c>
      <c r="P742" s="67" t="s">
        <v>794</v>
      </c>
      <c r="Q742" s="67" t="s">
        <v>775</v>
      </c>
      <c r="R742" s="461"/>
      <c r="S742" s="86"/>
      <c r="T742" s="91"/>
      <c r="U742" s="463"/>
      <c r="V742" s="67" t="s">
        <v>942</v>
      </c>
      <c r="W742" s="457"/>
      <c r="X742" s="457"/>
      <c r="Y742" s="457"/>
      <c r="Z742" s="457"/>
    </row>
    <row r="743" spans="1:26" s="67" customFormat="1" ht="14.25" customHeight="1">
      <c r="A743" s="353" t="s">
        <v>2626</v>
      </c>
      <c r="B743" s="434" t="s">
        <v>318</v>
      </c>
      <c r="C743" s="436" t="s">
        <v>2497</v>
      </c>
      <c r="D743" s="460"/>
      <c r="E743" s="171">
        <v>198434</v>
      </c>
      <c r="F743" s="171" t="s">
        <v>2610</v>
      </c>
      <c r="G743" s="171"/>
      <c r="H743" s="171"/>
      <c r="I743" s="171"/>
      <c r="J743" s="171" t="s">
        <v>793</v>
      </c>
      <c r="K743" s="171" t="s">
        <v>793</v>
      </c>
      <c r="L743" s="171" t="s">
        <v>793</v>
      </c>
      <c r="M743" s="171" t="s">
        <v>790</v>
      </c>
      <c r="N743" s="171"/>
      <c r="O743" s="171"/>
      <c r="P743" s="171"/>
      <c r="Q743" s="171" t="s">
        <v>2605</v>
      </c>
      <c r="R743" s="172"/>
      <c r="S743" s="170"/>
      <c r="T743" s="173"/>
      <c r="U743" s="174"/>
      <c r="V743" s="171"/>
      <c r="W743" s="461"/>
      <c r="X743" s="457"/>
      <c r="Y743" s="457"/>
      <c r="Z743" s="457"/>
    </row>
    <row r="744" spans="1:26" s="67" customFormat="1" ht="14.25" customHeight="1">
      <c r="A744" s="465" t="s">
        <v>2626</v>
      </c>
      <c r="B744" s="476" t="s">
        <v>318</v>
      </c>
      <c r="C744" s="385" t="s">
        <v>2498</v>
      </c>
      <c r="D744" s="460"/>
      <c r="E744" s="67">
        <v>198433</v>
      </c>
      <c r="F744" s="67" t="s">
        <v>2610</v>
      </c>
      <c r="J744" s="67" t="s">
        <v>793</v>
      </c>
      <c r="K744" s="353" t="s">
        <v>793</v>
      </c>
      <c r="L744" s="353" t="s">
        <v>793</v>
      </c>
      <c r="M744" s="67" t="s">
        <v>293</v>
      </c>
      <c r="O744" s="353"/>
      <c r="Q744" s="67" t="s">
        <v>2605</v>
      </c>
      <c r="R744" s="469"/>
      <c r="S744" s="357"/>
      <c r="T744" s="91"/>
      <c r="U744" s="469"/>
      <c r="W744" s="461"/>
      <c r="X744" s="457"/>
      <c r="Y744" s="457"/>
      <c r="Z744" s="457"/>
    </row>
    <row r="745" spans="1:26" s="67" customFormat="1" ht="14.25" customHeight="1">
      <c r="A745" s="353" t="s">
        <v>2626</v>
      </c>
      <c r="B745" s="371" t="s">
        <v>318</v>
      </c>
      <c r="C745" s="422" t="s">
        <v>2700</v>
      </c>
      <c r="D745" s="402"/>
      <c r="F745" s="411"/>
      <c r="J745" s="67" t="s">
        <v>2632</v>
      </c>
      <c r="K745" s="67" t="s">
        <v>2600</v>
      </c>
      <c r="L745" s="67" t="s">
        <v>2600</v>
      </c>
      <c r="R745" s="356"/>
      <c r="S745" s="86"/>
      <c r="T745" s="413">
        <v>43591</v>
      </c>
      <c r="U745" s="414"/>
      <c r="X745" s="457"/>
      <c r="Y745" s="457"/>
      <c r="Z745" s="457"/>
    </row>
    <row r="746" spans="1:26" s="457" customFormat="1" ht="14.25" customHeight="1">
      <c r="A746" s="457" t="s">
        <v>2626</v>
      </c>
      <c r="B746" s="475" t="s">
        <v>318</v>
      </c>
      <c r="C746" s="420" t="s">
        <v>2652</v>
      </c>
      <c r="D746" s="460" t="s">
        <v>1635</v>
      </c>
      <c r="E746" s="457">
        <v>198398</v>
      </c>
      <c r="F746" s="457" t="s">
        <v>2653</v>
      </c>
      <c r="J746" s="457" t="s">
        <v>874</v>
      </c>
      <c r="K746" s="457" t="s">
        <v>874</v>
      </c>
      <c r="L746" s="457" t="s">
        <v>874</v>
      </c>
      <c r="M746" s="457" t="s">
        <v>790</v>
      </c>
      <c r="N746" s="457">
        <v>20.741249079999999</v>
      </c>
      <c r="O746" s="457">
        <v>92.610519409999995</v>
      </c>
      <c r="P746" s="457" t="s">
        <v>794</v>
      </c>
      <c r="Q746" s="457" t="s">
        <v>775</v>
      </c>
      <c r="R746" s="469"/>
      <c r="S746" s="462"/>
      <c r="T746" s="481">
        <v>43580</v>
      </c>
      <c r="U746" s="505" t="s">
        <v>2651</v>
      </c>
      <c r="V746" s="457" t="s">
        <v>576</v>
      </c>
      <c r="W746" s="461"/>
    </row>
    <row r="747" spans="1:26" s="67" customFormat="1" ht="14.25" customHeight="1">
      <c r="A747" s="353" t="s">
        <v>2626</v>
      </c>
      <c r="B747" s="371" t="s">
        <v>318</v>
      </c>
      <c r="C747" s="370" t="s">
        <v>575</v>
      </c>
      <c r="D747" s="402" t="s">
        <v>1635</v>
      </c>
      <c r="E747" s="353">
        <v>198399</v>
      </c>
      <c r="F747" s="353"/>
      <c r="G747" s="353"/>
      <c r="H747" s="353"/>
      <c r="I747" s="353"/>
      <c r="J747" s="353" t="s">
        <v>793</v>
      </c>
      <c r="K747" s="353" t="s">
        <v>793</v>
      </c>
      <c r="L747" s="353" t="s">
        <v>793</v>
      </c>
      <c r="M747" s="353" t="s">
        <v>293</v>
      </c>
      <c r="N747" s="353">
        <v>20.739839549999999</v>
      </c>
      <c r="O747" s="353">
        <v>92.613456729999996</v>
      </c>
      <c r="P747" s="353" t="s">
        <v>794</v>
      </c>
      <c r="Q747" s="353" t="s">
        <v>775</v>
      </c>
      <c r="R747" s="356"/>
      <c r="S747" s="357"/>
      <c r="T747" s="376"/>
      <c r="U747" s="358"/>
      <c r="V747" s="353" t="s">
        <v>575</v>
      </c>
      <c r="W747" s="353"/>
      <c r="X747" s="457"/>
      <c r="Y747" s="457"/>
      <c r="Z747" s="457"/>
    </row>
    <row r="748" spans="1:26" s="67" customFormat="1" ht="14.25" customHeight="1">
      <c r="A748" s="353" t="s">
        <v>2626</v>
      </c>
      <c r="B748" s="479" t="s">
        <v>318</v>
      </c>
      <c r="C748" s="478" t="s">
        <v>524</v>
      </c>
      <c r="D748" s="402" t="s">
        <v>1635</v>
      </c>
      <c r="E748" s="67">
        <v>198448</v>
      </c>
      <c r="J748" s="67" t="s">
        <v>793</v>
      </c>
      <c r="K748" s="353" t="s">
        <v>793</v>
      </c>
      <c r="L748" s="353" t="s">
        <v>793</v>
      </c>
      <c r="M748" s="67" t="s">
        <v>293</v>
      </c>
      <c r="N748" s="67">
        <v>20.669130330000002</v>
      </c>
      <c r="O748" s="67">
        <v>92.595497129999998</v>
      </c>
      <c r="P748" s="67" t="s">
        <v>794</v>
      </c>
      <c r="Q748" s="353" t="s">
        <v>775</v>
      </c>
      <c r="R748" s="356"/>
      <c r="S748" s="357"/>
      <c r="T748" s="376"/>
      <c r="U748" s="87"/>
      <c r="V748" s="67" t="s">
        <v>524</v>
      </c>
      <c r="X748" s="457"/>
      <c r="Y748" s="457"/>
      <c r="Z748" s="457"/>
    </row>
    <row r="749" spans="1:26" s="67" customFormat="1" ht="14.25" customHeight="1">
      <c r="A749" s="353" t="s">
        <v>2626</v>
      </c>
      <c r="B749" s="479" t="s">
        <v>318</v>
      </c>
      <c r="C749" s="478" t="s">
        <v>529</v>
      </c>
      <c r="D749" s="402" t="s">
        <v>1635</v>
      </c>
      <c r="E749" s="67">
        <v>198447</v>
      </c>
      <c r="F749" s="353"/>
      <c r="J749" s="67" t="s">
        <v>793</v>
      </c>
      <c r="K749" s="353" t="s">
        <v>793</v>
      </c>
      <c r="L749" s="353" t="s">
        <v>793</v>
      </c>
      <c r="M749" s="67" t="s">
        <v>790</v>
      </c>
      <c r="N749" s="67">
        <v>20.674699780000001</v>
      </c>
      <c r="O749" s="67">
        <v>92.590393070000005</v>
      </c>
      <c r="P749" s="67" t="s">
        <v>794</v>
      </c>
      <c r="Q749" s="67" t="s">
        <v>775</v>
      </c>
      <c r="R749" s="356"/>
      <c r="S749" s="357"/>
      <c r="T749" s="91"/>
      <c r="U749" s="87"/>
      <c r="V749" s="67" t="s">
        <v>529</v>
      </c>
      <c r="X749" s="457"/>
      <c r="Y749" s="457"/>
      <c r="Z749" s="457"/>
    </row>
    <row r="750" spans="1:26" s="67" customFormat="1" ht="14.25" customHeight="1">
      <c r="A750" s="353" t="s">
        <v>2626</v>
      </c>
      <c r="B750" s="375" t="s">
        <v>318</v>
      </c>
      <c r="C750" s="374" t="s">
        <v>587</v>
      </c>
      <c r="D750" s="402" t="s">
        <v>1635</v>
      </c>
      <c r="E750" s="353">
        <v>198410</v>
      </c>
      <c r="J750" s="67" t="s">
        <v>793</v>
      </c>
      <c r="K750" s="67" t="s">
        <v>793</v>
      </c>
      <c r="L750" s="67" t="s">
        <v>793</v>
      </c>
      <c r="M750" s="67" t="s">
        <v>293</v>
      </c>
      <c r="N750" s="67">
        <v>20.772550580000001</v>
      </c>
      <c r="O750" s="67">
        <v>92.638290409999996</v>
      </c>
      <c r="P750" s="67" t="s">
        <v>794</v>
      </c>
      <c r="Q750" s="353" t="s">
        <v>775</v>
      </c>
      <c r="R750" s="356"/>
      <c r="S750" s="357"/>
      <c r="T750" s="376"/>
      <c r="U750" s="87"/>
      <c r="V750" s="67" t="s">
        <v>587</v>
      </c>
      <c r="W750" s="353"/>
      <c r="X750" s="457"/>
      <c r="Y750" s="457"/>
      <c r="Z750" s="457"/>
    </row>
    <row r="751" spans="1:26" s="67" customFormat="1" ht="14.25" customHeight="1">
      <c r="A751" s="353" t="s">
        <v>2626</v>
      </c>
      <c r="B751" s="375" t="s">
        <v>318</v>
      </c>
      <c r="C751" s="374" t="s">
        <v>349</v>
      </c>
      <c r="D751" s="402" t="s">
        <v>1635</v>
      </c>
      <c r="E751" s="353"/>
      <c r="J751" s="67" t="s">
        <v>793</v>
      </c>
      <c r="K751" s="457" t="s">
        <v>793</v>
      </c>
      <c r="L751" s="457" t="s">
        <v>793</v>
      </c>
      <c r="M751" s="67" t="s">
        <v>1144</v>
      </c>
      <c r="P751" s="67" t="s">
        <v>794</v>
      </c>
      <c r="Q751" s="67" t="s">
        <v>775</v>
      </c>
      <c r="R751" s="356"/>
      <c r="S751" s="357"/>
      <c r="T751" s="91"/>
      <c r="U751" s="87"/>
      <c r="V751" s="67" t="s">
        <v>349</v>
      </c>
      <c r="W751" s="353"/>
      <c r="X751" s="457"/>
      <c r="Y751" s="457"/>
      <c r="Z751" s="457"/>
    </row>
    <row r="752" spans="1:26" s="67" customFormat="1" ht="14.25" customHeight="1">
      <c r="A752" s="353" t="s">
        <v>2626</v>
      </c>
      <c r="B752" s="375" t="s">
        <v>318</v>
      </c>
      <c r="C752" s="374" t="s">
        <v>2522</v>
      </c>
      <c r="D752" s="402"/>
      <c r="J752" s="67" t="s">
        <v>2632</v>
      </c>
      <c r="K752" s="353" t="s">
        <v>2600</v>
      </c>
      <c r="L752" s="353" t="s">
        <v>2600</v>
      </c>
      <c r="R752" s="356"/>
      <c r="S752" s="357"/>
      <c r="T752" s="91"/>
      <c r="U752" s="87"/>
      <c r="X752" s="457"/>
      <c r="Y752" s="457"/>
      <c r="Z752" s="457"/>
    </row>
    <row r="753" spans="1:26" ht="14.25" customHeight="1">
      <c r="A753" s="353" t="s">
        <v>2626</v>
      </c>
      <c r="B753" s="375" t="s">
        <v>318</v>
      </c>
      <c r="C753" s="374" t="s">
        <v>2489</v>
      </c>
      <c r="D753" s="402"/>
      <c r="E753" s="353">
        <v>198370</v>
      </c>
      <c r="F753" s="353" t="s">
        <v>2606</v>
      </c>
      <c r="G753" s="353"/>
      <c r="H753" s="353"/>
      <c r="I753" s="353"/>
      <c r="J753" s="67" t="s">
        <v>793</v>
      </c>
      <c r="K753" s="475" t="s">
        <v>793</v>
      </c>
      <c r="L753" s="475" t="s">
        <v>793</v>
      </c>
      <c r="M753" s="67" t="s">
        <v>790</v>
      </c>
      <c r="N753" s="67"/>
      <c r="O753" s="67"/>
      <c r="P753" s="353"/>
      <c r="Q753" s="67" t="s">
        <v>2605</v>
      </c>
      <c r="R753" s="356"/>
      <c r="S753" s="357"/>
      <c r="T753" s="91"/>
      <c r="U753" s="87"/>
      <c r="V753" s="67"/>
      <c r="W753" s="353"/>
      <c r="X753" s="457"/>
      <c r="Y753" s="457"/>
      <c r="Z753" s="457"/>
    </row>
    <row r="754" spans="1:26" ht="14.25" customHeight="1">
      <c r="A754" s="353" t="s">
        <v>2626</v>
      </c>
      <c r="B754" s="459" t="s">
        <v>318</v>
      </c>
      <c r="C754" s="484" t="s">
        <v>569</v>
      </c>
      <c r="D754" s="402" t="s">
        <v>1635</v>
      </c>
      <c r="E754" s="67">
        <v>198430</v>
      </c>
      <c r="F754" s="67"/>
      <c r="G754" s="67"/>
      <c r="H754" s="67"/>
      <c r="I754" s="67"/>
      <c r="J754" s="67" t="s">
        <v>793</v>
      </c>
      <c r="K754" s="475" t="s">
        <v>793</v>
      </c>
      <c r="L754" s="475" t="s">
        <v>793</v>
      </c>
      <c r="M754" s="67" t="s">
        <v>790</v>
      </c>
      <c r="N754" s="67">
        <v>20.724700930000001</v>
      </c>
      <c r="O754" s="67">
        <v>92.628196720000005</v>
      </c>
      <c r="P754" s="67" t="s">
        <v>794</v>
      </c>
      <c r="Q754" s="67" t="s">
        <v>775</v>
      </c>
      <c r="R754" s="356"/>
      <c r="S754" s="357"/>
      <c r="T754" s="91"/>
      <c r="U754" s="87"/>
      <c r="V754" s="67" t="s">
        <v>569</v>
      </c>
      <c r="W754" s="67"/>
      <c r="X754" s="457"/>
      <c r="Y754" s="457"/>
      <c r="Z754" s="457"/>
    </row>
    <row r="755" spans="1:26" ht="14.25" customHeight="1">
      <c r="A755" s="457" t="s">
        <v>2626</v>
      </c>
      <c r="B755" s="475" t="s">
        <v>318</v>
      </c>
      <c r="C755" s="484" t="s">
        <v>638</v>
      </c>
      <c r="D755" s="402" t="s">
        <v>1635</v>
      </c>
      <c r="E755" s="457">
        <v>198291</v>
      </c>
      <c r="F755" s="457"/>
      <c r="G755" s="457"/>
      <c r="H755" s="457"/>
      <c r="I755" s="457"/>
      <c r="J755" s="67" t="s">
        <v>793</v>
      </c>
      <c r="K755" s="371" t="s">
        <v>793</v>
      </c>
      <c r="L755" s="371" t="s">
        <v>793</v>
      </c>
      <c r="M755" s="353" t="s">
        <v>790</v>
      </c>
      <c r="N755" s="457">
        <v>20.871829989999998</v>
      </c>
      <c r="O755" s="457">
        <v>92.566909789999997</v>
      </c>
      <c r="P755" s="67" t="s">
        <v>794</v>
      </c>
      <c r="Q755" s="457" t="s">
        <v>775</v>
      </c>
      <c r="R755" s="461"/>
      <c r="S755" s="462"/>
      <c r="T755" s="481"/>
      <c r="U755" s="463"/>
      <c r="V755" s="457" t="s">
        <v>638</v>
      </c>
      <c r="W755" s="457"/>
      <c r="X755" s="457"/>
      <c r="Y755" s="457"/>
      <c r="Z755" s="457"/>
    </row>
    <row r="756" spans="1:26" ht="14.25" customHeight="1">
      <c r="A756" s="462" t="s">
        <v>2626</v>
      </c>
      <c r="B756" s="465" t="s">
        <v>318</v>
      </c>
      <c r="C756" s="501" t="s">
        <v>937</v>
      </c>
      <c r="D756" s="355"/>
      <c r="E756" s="457"/>
      <c r="F756" s="457"/>
      <c r="G756" s="457"/>
      <c r="H756" s="457"/>
      <c r="I756" s="457"/>
      <c r="J756" s="67" t="s">
        <v>793</v>
      </c>
      <c r="K756" s="475" t="s">
        <v>793</v>
      </c>
      <c r="L756" s="475" t="s">
        <v>793</v>
      </c>
      <c r="M756" s="457"/>
      <c r="N756" s="457"/>
      <c r="O756" s="457"/>
      <c r="P756" s="457"/>
      <c r="Q756" s="457"/>
      <c r="R756" s="469"/>
      <c r="S756" s="462"/>
      <c r="T756" s="481"/>
      <c r="U756" s="469"/>
      <c r="V756" s="457"/>
      <c r="W756" s="356"/>
      <c r="X756" s="457"/>
      <c r="Y756" s="457"/>
      <c r="Z756" s="457"/>
    </row>
    <row r="757" spans="1:26" ht="14.25" customHeight="1">
      <c r="A757" s="462" t="s">
        <v>2626</v>
      </c>
      <c r="B757" s="465" t="s">
        <v>318</v>
      </c>
      <c r="C757" s="501" t="s">
        <v>2786</v>
      </c>
      <c r="D757" s="355"/>
      <c r="E757" s="353"/>
      <c r="F757" s="353"/>
      <c r="G757" s="353"/>
      <c r="H757" s="353"/>
      <c r="I757" s="353"/>
      <c r="J757" s="353" t="s">
        <v>793</v>
      </c>
      <c r="K757" s="479" t="s">
        <v>793</v>
      </c>
      <c r="L757" s="479" t="s">
        <v>793</v>
      </c>
      <c r="M757" s="353"/>
      <c r="N757" s="353"/>
      <c r="O757" s="353"/>
      <c r="P757" s="353"/>
      <c r="Q757" s="353"/>
      <c r="R757" s="364"/>
      <c r="S757" s="357"/>
      <c r="T757" s="376"/>
      <c r="U757" s="364"/>
      <c r="V757" s="353"/>
      <c r="W757" s="356"/>
      <c r="X757" s="457"/>
      <c r="Y757" s="457"/>
      <c r="Z757" s="457"/>
    </row>
    <row r="758" spans="1:26" ht="14.25" customHeight="1">
      <c r="A758" s="353" t="s">
        <v>2626</v>
      </c>
      <c r="B758" s="479" t="s">
        <v>318</v>
      </c>
      <c r="C758" s="378" t="s">
        <v>668</v>
      </c>
      <c r="D758" s="402" t="s">
        <v>1635</v>
      </c>
      <c r="E758" s="67">
        <v>198163</v>
      </c>
      <c r="F758" s="353"/>
      <c r="G758" s="67"/>
      <c r="H758" s="67"/>
      <c r="I758" s="67"/>
      <c r="J758" s="67" t="s">
        <v>799</v>
      </c>
      <c r="K758" s="459" t="s">
        <v>793</v>
      </c>
      <c r="L758" s="459" t="s">
        <v>799</v>
      </c>
      <c r="M758" s="67" t="s">
        <v>948</v>
      </c>
      <c r="N758" s="67">
        <v>20.99898911</v>
      </c>
      <c r="O758" s="67">
        <v>92.46325684</v>
      </c>
      <c r="P758" s="67" t="s">
        <v>918</v>
      </c>
      <c r="Q758" s="67" t="s">
        <v>797</v>
      </c>
      <c r="R758" s="356"/>
      <c r="S758" s="357"/>
      <c r="T758" s="91">
        <v>42926</v>
      </c>
      <c r="U758" s="87" t="s">
        <v>928</v>
      </c>
      <c r="V758" s="67"/>
      <c r="W758" s="353"/>
      <c r="X758" s="457"/>
      <c r="Y758" s="457"/>
      <c r="Z758" s="457"/>
    </row>
    <row r="759" spans="1:26" ht="14.25" customHeight="1">
      <c r="A759" s="409" t="s">
        <v>2626</v>
      </c>
      <c r="B759" s="410" t="s">
        <v>318</v>
      </c>
      <c r="C759" s="478" t="s">
        <v>1882</v>
      </c>
      <c r="D759" s="460"/>
      <c r="E759" s="411">
        <v>198348</v>
      </c>
      <c r="F759" s="411" t="s">
        <v>2051</v>
      </c>
      <c r="G759" s="411"/>
      <c r="H759" s="411"/>
      <c r="I759" s="411"/>
      <c r="J759" s="67" t="s">
        <v>874</v>
      </c>
      <c r="K759" s="459" t="s">
        <v>874</v>
      </c>
      <c r="L759" s="459" t="s">
        <v>874</v>
      </c>
      <c r="M759" s="67" t="s">
        <v>293</v>
      </c>
      <c r="N759" s="411">
        <v>20.847490310668899</v>
      </c>
      <c r="O759" s="411">
        <v>92.556472778320298</v>
      </c>
      <c r="P759" s="67" t="s">
        <v>794</v>
      </c>
      <c r="Q759" s="411" t="s">
        <v>2605</v>
      </c>
      <c r="R759" s="412"/>
      <c r="S759" s="409"/>
      <c r="T759" s="413">
        <v>43580</v>
      </c>
      <c r="U759" s="414" t="s">
        <v>2651</v>
      </c>
      <c r="V759" s="415"/>
      <c r="W759" s="461"/>
      <c r="X759" s="457"/>
      <c r="Y759" s="457"/>
      <c r="Z759" s="457"/>
    </row>
    <row r="760" spans="1:26" ht="14.25" customHeight="1">
      <c r="A760" s="409" t="s">
        <v>2626</v>
      </c>
      <c r="B760" s="417" t="s">
        <v>318</v>
      </c>
      <c r="C760" s="435" t="s">
        <v>2655</v>
      </c>
      <c r="D760" s="460"/>
      <c r="E760" s="411">
        <v>198326</v>
      </c>
      <c r="F760" s="411" t="s">
        <v>2656</v>
      </c>
      <c r="G760" s="411"/>
      <c r="H760" s="411"/>
      <c r="I760" s="411"/>
      <c r="J760" s="67" t="s">
        <v>793</v>
      </c>
      <c r="K760" s="459" t="s">
        <v>793</v>
      </c>
      <c r="L760" s="459" t="s">
        <v>793</v>
      </c>
      <c r="M760" s="411"/>
      <c r="N760" s="411">
        <v>20.8608493804932</v>
      </c>
      <c r="O760" s="411">
        <v>92.539390563964801</v>
      </c>
      <c r="P760" s="411"/>
      <c r="Q760" s="411" t="s">
        <v>2605</v>
      </c>
      <c r="R760" s="412"/>
      <c r="S760" s="409"/>
      <c r="T760" s="413">
        <v>43580</v>
      </c>
      <c r="U760" s="414" t="s">
        <v>2651</v>
      </c>
      <c r="V760" s="415"/>
      <c r="W760" s="461"/>
      <c r="X760" s="457"/>
      <c r="Y760" s="457"/>
      <c r="Z760" s="457"/>
    </row>
    <row r="761" spans="1:26" ht="14.25" customHeight="1">
      <c r="A761" s="465" t="s">
        <v>2626</v>
      </c>
      <c r="B761" s="465" t="s">
        <v>318</v>
      </c>
      <c r="C761" s="490" t="s">
        <v>2701</v>
      </c>
      <c r="D761" s="460"/>
      <c r="E761" s="67">
        <v>198326</v>
      </c>
      <c r="F761" s="353"/>
      <c r="G761" s="67"/>
      <c r="H761" s="67"/>
      <c r="I761" s="67"/>
      <c r="J761" s="67" t="s">
        <v>2632</v>
      </c>
      <c r="K761" s="459" t="s">
        <v>2600</v>
      </c>
      <c r="L761" s="459" t="s">
        <v>2600</v>
      </c>
      <c r="M761" s="67"/>
      <c r="N761" s="67">
        <v>20.8608493804932</v>
      </c>
      <c r="O761" s="67">
        <v>92.539390563964801</v>
      </c>
      <c r="P761" s="67"/>
      <c r="Q761" s="353"/>
      <c r="R761" s="469"/>
      <c r="S761" s="357"/>
      <c r="T761" s="376">
        <v>43591</v>
      </c>
      <c r="U761" s="469"/>
      <c r="V761" s="67"/>
      <c r="W761" s="461"/>
      <c r="X761" s="457"/>
      <c r="Y761" s="457"/>
      <c r="Z761" s="457"/>
    </row>
    <row r="762" spans="1:26" ht="14.25" customHeight="1">
      <c r="A762" s="462" t="s">
        <v>2626</v>
      </c>
      <c r="B762" s="380" t="s">
        <v>318</v>
      </c>
      <c r="C762" s="490" t="s">
        <v>2792</v>
      </c>
      <c r="D762" s="355"/>
      <c r="E762" s="67">
        <v>198424</v>
      </c>
      <c r="F762" s="353"/>
      <c r="G762" s="67"/>
      <c r="H762" s="67"/>
      <c r="I762" s="67"/>
      <c r="J762" s="67" t="s">
        <v>793</v>
      </c>
      <c r="K762" s="353" t="s">
        <v>793</v>
      </c>
      <c r="L762" s="353" t="s">
        <v>793</v>
      </c>
      <c r="M762" s="67"/>
      <c r="N762" s="67">
        <v>20.735639572143601</v>
      </c>
      <c r="O762" s="475">
        <v>92.638076782226605</v>
      </c>
      <c r="P762" s="67"/>
      <c r="Q762" s="67"/>
      <c r="R762" s="364"/>
      <c r="S762" s="357"/>
      <c r="T762" s="91"/>
      <c r="U762" s="469"/>
      <c r="V762" s="67"/>
      <c r="W762" s="461"/>
      <c r="X762" s="457"/>
      <c r="Y762" s="457"/>
      <c r="Z762" s="457"/>
    </row>
    <row r="763" spans="1:26" ht="14.25" customHeight="1">
      <c r="A763" s="353" t="s">
        <v>2626</v>
      </c>
      <c r="B763" s="375" t="s">
        <v>318</v>
      </c>
      <c r="C763" s="478" t="s">
        <v>666</v>
      </c>
      <c r="D763" s="402" t="s">
        <v>1635</v>
      </c>
      <c r="E763" s="67">
        <v>198184</v>
      </c>
      <c r="F763" s="464"/>
      <c r="G763" s="67"/>
      <c r="H763" s="67"/>
      <c r="I763" s="67"/>
      <c r="J763" s="67" t="s">
        <v>793</v>
      </c>
      <c r="K763" s="353" t="s">
        <v>793</v>
      </c>
      <c r="L763" s="353" t="s">
        <v>793</v>
      </c>
      <c r="M763" s="67" t="s">
        <v>790</v>
      </c>
      <c r="N763" s="353">
        <v>20.99110031</v>
      </c>
      <c r="O763" s="353">
        <v>92.493858340000003</v>
      </c>
      <c r="P763" s="353" t="s">
        <v>794</v>
      </c>
      <c r="Q763" s="67" t="s">
        <v>775</v>
      </c>
      <c r="R763" s="356"/>
      <c r="S763" s="357"/>
      <c r="T763" s="91"/>
      <c r="U763" s="87"/>
      <c r="V763" s="67" t="s">
        <v>666</v>
      </c>
      <c r="W763" s="353"/>
      <c r="X763" s="457"/>
      <c r="Y763" s="457"/>
      <c r="Z763" s="457"/>
    </row>
    <row r="764" spans="1:26" ht="14.25" customHeight="1">
      <c r="A764" s="353" t="s">
        <v>2626</v>
      </c>
      <c r="B764" s="375" t="s">
        <v>318</v>
      </c>
      <c r="C764" s="374" t="s">
        <v>574</v>
      </c>
      <c r="D764" s="402" t="s">
        <v>1635</v>
      </c>
      <c r="E764" s="457">
        <v>198425</v>
      </c>
      <c r="F764" s="464"/>
      <c r="G764" s="353"/>
      <c r="H764" s="353"/>
      <c r="I764" s="353"/>
      <c r="J764" s="67" t="s">
        <v>793</v>
      </c>
      <c r="K764" s="353" t="s">
        <v>793</v>
      </c>
      <c r="L764" s="353" t="s">
        <v>793</v>
      </c>
      <c r="M764" s="67" t="s">
        <v>790</v>
      </c>
      <c r="N764" s="67">
        <v>20.737430570000001</v>
      </c>
      <c r="O764" s="67">
        <v>92.634773249999995</v>
      </c>
      <c r="P764" s="67" t="s">
        <v>794</v>
      </c>
      <c r="Q764" s="67" t="s">
        <v>775</v>
      </c>
      <c r="R764" s="356"/>
      <c r="S764" s="357"/>
      <c r="T764" s="91"/>
      <c r="U764" s="87"/>
      <c r="V764" s="67" t="s">
        <v>574</v>
      </c>
      <c r="W764" s="67"/>
      <c r="X764" s="457"/>
      <c r="Y764" s="457"/>
      <c r="Z764" s="457"/>
    </row>
    <row r="765" spans="1:26" ht="14.25" customHeight="1">
      <c r="A765" s="353" t="s">
        <v>2626</v>
      </c>
      <c r="B765" s="479" t="s">
        <v>318</v>
      </c>
      <c r="C765" s="478" t="s">
        <v>518</v>
      </c>
      <c r="D765" s="402" t="s">
        <v>1635</v>
      </c>
      <c r="E765" s="67">
        <v>198450</v>
      </c>
      <c r="F765" s="67"/>
      <c r="G765" s="67"/>
      <c r="H765" s="67"/>
      <c r="I765" s="67"/>
      <c r="J765" s="67" t="s">
        <v>793</v>
      </c>
      <c r="K765" s="353" t="s">
        <v>793</v>
      </c>
      <c r="L765" s="353" t="s">
        <v>793</v>
      </c>
      <c r="M765" s="67" t="s">
        <v>790</v>
      </c>
      <c r="N765" s="353">
        <v>20.654249190000002</v>
      </c>
      <c r="O765" s="353">
        <v>92.619102479999995</v>
      </c>
      <c r="P765" s="67" t="s">
        <v>794</v>
      </c>
      <c r="Q765" s="67" t="s">
        <v>775</v>
      </c>
      <c r="R765" s="356"/>
      <c r="S765" s="357"/>
      <c r="T765" s="91"/>
      <c r="U765" s="87"/>
      <c r="V765" s="67" t="s">
        <v>916</v>
      </c>
      <c r="W765" s="67"/>
      <c r="X765" s="457"/>
      <c r="Y765" s="457"/>
      <c r="Z765" s="457"/>
    </row>
    <row r="766" spans="1:26" ht="14.25" customHeight="1">
      <c r="A766" s="457" t="s">
        <v>2626</v>
      </c>
      <c r="B766" s="479" t="s">
        <v>304</v>
      </c>
      <c r="C766" s="478" t="s">
        <v>2022</v>
      </c>
      <c r="D766" s="402"/>
      <c r="E766" s="457">
        <v>197857</v>
      </c>
      <c r="F766" s="457"/>
      <c r="G766" s="457"/>
      <c r="H766" s="457"/>
      <c r="I766" s="457"/>
      <c r="J766" s="457" t="s">
        <v>793</v>
      </c>
      <c r="K766" s="457" t="s">
        <v>793</v>
      </c>
      <c r="L766" s="457" t="s">
        <v>793</v>
      </c>
      <c r="M766" s="457" t="s">
        <v>678</v>
      </c>
      <c r="N766" s="457">
        <v>21.08677673</v>
      </c>
      <c r="O766" s="457">
        <v>92.337112430000005</v>
      </c>
      <c r="P766" s="457"/>
      <c r="Q766" s="457"/>
      <c r="R766" s="461"/>
      <c r="S766" s="462"/>
      <c r="T766" s="481">
        <v>43300</v>
      </c>
      <c r="U766" s="463"/>
      <c r="V766" s="457"/>
      <c r="W766" s="457"/>
      <c r="X766" s="457"/>
      <c r="Y766" s="457"/>
      <c r="Z766" s="457"/>
    </row>
    <row r="767" spans="1:26" ht="14.25" customHeight="1">
      <c r="A767" s="353" t="s">
        <v>2626</v>
      </c>
      <c r="B767" s="489" t="s">
        <v>304</v>
      </c>
      <c r="C767" s="420" t="s">
        <v>2678</v>
      </c>
      <c r="D767" s="460"/>
      <c r="E767" s="67">
        <v>197857</v>
      </c>
      <c r="F767" s="353"/>
      <c r="G767" s="67"/>
      <c r="H767" s="67"/>
      <c r="I767" s="67"/>
      <c r="J767" s="67" t="s">
        <v>793</v>
      </c>
      <c r="K767" s="353" t="s">
        <v>793</v>
      </c>
      <c r="L767" s="353" t="s">
        <v>793</v>
      </c>
      <c r="M767" s="67" t="s">
        <v>2059</v>
      </c>
      <c r="N767" s="67">
        <v>21.08677673</v>
      </c>
      <c r="O767" s="459">
        <v>92.337112430000005</v>
      </c>
      <c r="P767" s="67"/>
      <c r="Q767" s="67"/>
      <c r="R767" s="469"/>
      <c r="S767" s="86"/>
      <c r="T767" s="91">
        <v>43300</v>
      </c>
      <c r="U767" s="87"/>
      <c r="V767" s="67"/>
      <c r="W767" s="353"/>
      <c r="X767" s="457"/>
      <c r="Y767" s="457"/>
      <c r="Z767" s="457"/>
    </row>
    <row r="768" spans="1:26" ht="14.25" customHeight="1">
      <c r="A768" s="353" t="s">
        <v>2626</v>
      </c>
      <c r="B768" s="479" t="s">
        <v>304</v>
      </c>
      <c r="C768" s="478" t="s">
        <v>2677</v>
      </c>
      <c r="D768" s="402"/>
      <c r="E768" s="67">
        <v>197857</v>
      </c>
      <c r="F768" s="459"/>
      <c r="G768" s="67"/>
      <c r="H768" s="67"/>
      <c r="I768" s="67"/>
      <c r="J768" s="67" t="s">
        <v>793</v>
      </c>
      <c r="K768" s="353" t="s">
        <v>793</v>
      </c>
      <c r="L768" s="353" t="s">
        <v>793</v>
      </c>
      <c r="M768" s="67" t="s">
        <v>293</v>
      </c>
      <c r="N768" s="353">
        <v>21.08677673</v>
      </c>
      <c r="O768" s="353">
        <v>92.337112430000005</v>
      </c>
      <c r="P768" s="67"/>
      <c r="Q768" s="67"/>
      <c r="R768" s="461"/>
      <c r="S768" s="357"/>
      <c r="T768" s="91">
        <v>43300</v>
      </c>
      <c r="U768" s="87"/>
      <c r="V768" s="67"/>
      <c r="W768" s="353"/>
      <c r="X768" s="457"/>
      <c r="Y768" s="457"/>
      <c r="Z768" s="457"/>
    </row>
    <row r="769" spans="1:26" ht="14.25" customHeight="1">
      <c r="A769" s="457" t="s">
        <v>2626</v>
      </c>
      <c r="B769" s="479" t="s">
        <v>304</v>
      </c>
      <c r="C769" s="478" t="s">
        <v>2052</v>
      </c>
      <c r="D769" s="402"/>
      <c r="E769" s="459">
        <v>197920</v>
      </c>
      <c r="F769" s="459"/>
      <c r="G769" s="457"/>
      <c r="H769" s="457"/>
      <c r="I769" s="457"/>
      <c r="J769" s="457" t="s">
        <v>793</v>
      </c>
      <c r="K769" s="457" t="s">
        <v>793</v>
      </c>
      <c r="L769" s="457" t="s">
        <v>793</v>
      </c>
      <c r="M769" s="67" t="s">
        <v>790</v>
      </c>
      <c r="N769" s="67">
        <v>20.92394066</v>
      </c>
      <c r="O769" s="67">
        <v>92.322669980000001</v>
      </c>
      <c r="P769" s="67"/>
      <c r="Q769" s="457"/>
      <c r="R769" s="461"/>
      <c r="S769" s="462"/>
      <c r="T769" s="481">
        <v>43300</v>
      </c>
      <c r="U769" s="463"/>
      <c r="V769" s="353"/>
      <c r="W769" s="457"/>
      <c r="X769" s="457"/>
      <c r="Y769" s="457"/>
      <c r="Z769" s="457"/>
    </row>
    <row r="770" spans="1:26" ht="14.25" customHeight="1">
      <c r="A770" s="353" t="s">
        <v>2626</v>
      </c>
      <c r="B770" s="479" t="s">
        <v>304</v>
      </c>
      <c r="C770" s="478" t="s">
        <v>2023</v>
      </c>
      <c r="D770" s="402"/>
      <c r="E770" s="67">
        <v>197968</v>
      </c>
      <c r="F770" s="353"/>
      <c r="G770" s="67"/>
      <c r="H770" s="67"/>
      <c r="I770" s="67"/>
      <c r="J770" s="67" t="s">
        <v>793</v>
      </c>
      <c r="K770" s="353" t="s">
        <v>793</v>
      </c>
      <c r="L770" s="353" t="s">
        <v>793</v>
      </c>
      <c r="M770" s="67" t="s">
        <v>790</v>
      </c>
      <c r="N770" s="67">
        <v>20.878229139999998</v>
      </c>
      <c r="O770" s="67">
        <v>92.347267149999993</v>
      </c>
      <c r="P770" s="67"/>
      <c r="Q770" s="67"/>
      <c r="R770" s="461"/>
      <c r="S770" s="462"/>
      <c r="T770" s="91">
        <v>43300</v>
      </c>
      <c r="U770" s="87"/>
      <c r="V770" s="353"/>
      <c r="W770" s="353"/>
      <c r="X770" s="457"/>
      <c r="Y770" s="457"/>
      <c r="Z770" s="457"/>
    </row>
    <row r="771" spans="1:26" ht="14.25" customHeight="1">
      <c r="A771" s="409" t="s">
        <v>2626</v>
      </c>
      <c r="B771" s="417" t="s">
        <v>304</v>
      </c>
      <c r="C771" s="419" t="s">
        <v>2663</v>
      </c>
      <c r="D771" s="460"/>
      <c r="E771" s="411"/>
      <c r="F771" s="411"/>
      <c r="G771" s="411"/>
      <c r="H771" s="411"/>
      <c r="I771" s="411"/>
      <c r="J771" s="411" t="s">
        <v>2632</v>
      </c>
      <c r="K771" s="411" t="s">
        <v>2600</v>
      </c>
      <c r="L771" s="411" t="s">
        <v>2600</v>
      </c>
      <c r="M771" s="411"/>
      <c r="N771" s="411"/>
      <c r="O771" s="411"/>
      <c r="P771" s="411"/>
      <c r="Q771" s="411" t="s">
        <v>2605</v>
      </c>
      <c r="R771" s="412"/>
      <c r="S771" s="409"/>
      <c r="T771" s="413">
        <v>43580</v>
      </c>
      <c r="U771" s="414" t="s">
        <v>2651</v>
      </c>
      <c r="V771" s="415"/>
      <c r="W771" s="461"/>
      <c r="X771" s="457"/>
      <c r="Y771" s="457"/>
      <c r="Z771" s="457"/>
    </row>
    <row r="772" spans="1:26" ht="14.25" customHeight="1">
      <c r="A772" s="353" t="s">
        <v>2626</v>
      </c>
      <c r="B772" s="479" t="s">
        <v>304</v>
      </c>
      <c r="C772" s="478" t="s">
        <v>607</v>
      </c>
      <c r="D772" s="402" t="s">
        <v>1635</v>
      </c>
      <c r="E772" s="67">
        <v>197997</v>
      </c>
      <c r="F772" s="67"/>
      <c r="G772" s="67"/>
      <c r="H772" s="67"/>
      <c r="I772" s="67"/>
      <c r="J772" s="67" t="s">
        <v>793</v>
      </c>
      <c r="K772" s="353" t="s">
        <v>793</v>
      </c>
      <c r="L772" s="353" t="s">
        <v>793</v>
      </c>
      <c r="M772" s="67" t="s">
        <v>790</v>
      </c>
      <c r="N772" s="67">
        <v>20.803909300000001</v>
      </c>
      <c r="O772" s="353">
        <v>92.376831050000007</v>
      </c>
      <c r="P772" s="67" t="s">
        <v>794</v>
      </c>
      <c r="Q772" s="457" t="s">
        <v>775</v>
      </c>
      <c r="R772" s="461"/>
      <c r="S772" s="462"/>
      <c r="T772" s="481"/>
      <c r="U772" s="87"/>
      <c r="V772" s="67" t="s">
        <v>931</v>
      </c>
      <c r="W772" s="353"/>
      <c r="X772" s="457"/>
      <c r="Y772" s="457"/>
      <c r="Z772" s="457"/>
    </row>
    <row r="773" spans="1:26" ht="14.25" customHeight="1">
      <c r="A773" s="353" t="s">
        <v>2626</v>
      </c>
      <c r="B773" s="380" t="s">
        <v>304</v>
      </c>
      <c r="C773" s="381" t="s">
        <v>687</v>
      </c>
      <c r="D773" s="355" t="s">
        <v>1635</v>
      </c>
      <c r="E773" s="67">
        <v>197820</v>
      </c>
      <c r="F773" s="67"/>
      <c r="G773" s="67"/>
      <c r="H773" s="67"/>
      <c r="I773" s="67"/>
      <c r="J773" s="67" t="s">
        <v>793</v>
      </c>
      <c r="K773" s="353" t="s">
        <v>793</v>
      </c>
      <c r="L773" s="353" t="s">
        <v>793</v>
      </c>
      <c r="M773" s="67" t="s">
        <v>790</v>
      </c>
      <c r="N773" s="67">
        <v>21.26553917</v>
      </c>
      <c r="O773" s="353">
        <v>92.27140808</v>
      </c>
      <c r="P773" s="67" t="s">
        <v>794</v>
      </c>
      <c r="Q773" s="353" t="s">
        <v>775</v>
      </c>
      <c r="R773" s="469"/>
      <c r="S773" s="462"/>
      <c r="T773" s="376"/>
      <c r="U773" s="87"/>
      <c r="V773" s="353" t="s">
        <v>955</v>
      </c>
      <c r="W773" s="353"/>
      <c r="X773" s="457"/>
      <c r="Y773" s="457"/>
      <c r="Z773" s="457"/>
    </row>
    <row r="774" spans="1:26" ht="14.25" customHeight="1">
      <c r="A774" s="409" t="s">
        <v>2626</v>
      </c>
      <c r="B774" s="410" t="s">
        <v>304</v>
      </c>
      <c r="C774" s="419" t="s">
        <v>956</v>
      </c>
      <c r="D774" s="355" t="s">
        <v>1635</v>
      </c>
      <c r="E774" s="411">
        <v>197817</v>
      </c>
      <c r="F774" s="423" t="s">
        <v>2661</v>
      </c>
      <c r="G774" s="411"/>
      <c r="H774" s="411"/>
      <c r="I774" s="411"/>
      <c r="J774" s="411" t="s">
        <v>2632</v>
      </c>
      <c r="K774" s="411" t="s">
        <v>2600</v>
      </c>
      <c r="L774" s="411" t="s">
        <v>2600</v>
      </c>
      <c r="M774" s="67" t="s">
        <v>790</v>
      </c>
      <c r="N774" s="67">
        <v>21.2688694</v>
      </c>
      <c r="O774" s="353">
        <v>92.274917599999995</v>
      </c>
      <c r="P774" s="67" t="s">
        <v>794</v>
      </c>
      <c r="Q774" s="411" t="s">
        <v>2605</v>
      </c>
      <c r="R774" s="424"/>
      <c r="S774" s="421"/>
      <c r="T774" s="413">
        <v>43580</v>
      </c>
      <c r="U774" s="414" t="s">
        <v>2651</v>
      </c>
      <c r="V774" s="67" t="s">
        <v>955</v>
      </c>
      <c r="W774" s="461"/>
      <c r="X774" s="457"/>
      <c r="Y774" s="457"/>
      <c r="Z774" s="457"/>
    </row>
    <row r="775" spans="1:26" ht="14.25" customHeight="1">
      <c r="A775" s="353" t="s">
        <v>2626</v>
      </c>
      <c r="B775" s="380" t="s">
        <v>304</v>
      </c>
      <c r="C775" s="381" t="s">
        <v>305</v>
      </c>
      <c r="D775" s="355" t="s">
        <v>1635</v>
      </c>
      <c r="E775" s="67"/>
      <c r="F775" s="353"/>
      <c r="G775" s="67"/>
      <c r="H775" s="67"/>
      <c r="I775" s="67"/>
      <c r="J775" s="67" t="s">
        <v>793</v>
      </c>
      <c r="K775" s="67" t="s">
        <v>793</v>
      </c>
      <c r="L775" s="67" t="s">
        <v>793</v>
      </c>
      <c r="M775" s="67" t="s">
        <v>790</v>
      </c>
      <c r="N775" s="67"/>
      <c r="O775" s="353"/>
      <c r="P775" s="67" t="s">
        <v>794</v>
      </c>
      <c r="Q775" s="67" t="s">
        <v>775</v>
      </c>
      <c r="R775" s="365"/>
      <c r="S775" s="361"/>
      <c r="T775" s="91"/>
      <c r="U775" s="87"/>
      <c r="V775" s="67" t="s">
        <v>305</v>
      </c>
      <c r="W775" s="353"/>
      <c r="X775" s="457"/>
      <c r="Y775" s="457"/>
      <c r="Z775" s="457"/>
    </row>
    <row r="776" spans="1:26" ht="14.25" customHeight="1">
      <c r="A776" s="353" t="s">
        <v>2626</v>
      </c>
      <c r="B776" s="479" t="s">
        <v>304</v>
      </c>
      <c r="C776" s="478" t="s">
        <v>2505</v>
      </c>
      <c r="D776" s="402"/>
      <c r="E776" s="67">
        <v>197968</v>
      </c>
      <c r="F776" s="459" t="s">
        <v>2507</v>
      </c>
      <c r="G776" s="67"/>
      <c r="H776" s="67"/>
      <c r="I776" s="67"/>
      <c r="J776" s="67" t="s">
        <v>793</v>
      </c>
      <c r="K776" s="67" t="s">
        <v>793</v>
      </c>
      <c r="L776" s="67" t="s">
        <v>793</v>
      </c>
      <c r="M776" s="67" t="s">
        <v>790</v>
      </c>
      <c r="N776" s="67"/>
      <c r="O776" s="353"/>
      <c r="P776" s="67"/>
      <c r="Q776" s="67"/>
      <c r="R776" s="465"/>
      <c r="S776" s="361"/>
      <c r="T776" s="91"/>
      <c r="U776" s="87"/>
      <c r="V776" s="67"/>
      <c r="W776" s="353"/>
      <c r="X776" s="457"/>
      <c r="Y776" s="457"/>
      <c r="Z776" s="457"/>
    </row>
    <row r="777" spans="1:26" ht="14.25" customHeight="1">
      <c r="A777" s="457" t="s">
        <v>2626</v>
      </c>
      <c r="B777" s="489" t="s">
        <v>304</v>
      </c>
      <c r="C777" s="478" t="s">
        <v>604</v>
      </c>
      <c r="D777" s="355" t="s">
        <v>1635</v>
      </c>
      <c r="E777" s="457">
        <v>197995</v>
      </c>
      <c r="F777" s="457"/>
      <c r="G777" s="457"/>
      <c r="H777" s="457"/>
      <c r="I777" s="457"/>
      <c r="J777" s="67" t="s">
        <v>793</v>
      </c>
      <c r="K777" s="67" t="s">
        <v>793</v>
      </c>
      <c r="L777" s="67" t="s">
        <v>793</v>
      </c>
      <c r="M777" s="457" t="s">
        <v>790</v>
      </c>
      <c r="N777" s="457">
        <v>20.802850719999999</v>
      </c>
      <c r="O777" s="457">
        <v>92.392669679999997</v>
      </c>
      <c r="P777" s="457" t="s">
        <v>794</v>
      </c>
      <c r="Q777" s="459" t="s">
        <v>775</v>
      </c>
      <c r="R777" s="470"/>
      <c r="S777" s="466"/>
      <c r="T777" s="482"/>
      <c r="U777" s="463"/>
      <c r="V777" s="457" t="s">
        <v>930</v>
      </c>
      <c r="W777" s="457"/>
      <c r="X777" s="457"/>
      <c r="Y777" s="457"/>
      <c r="Z777" s="457"/>
    </row>
    <row r="778" spans="1:26" ht="14.25" customHeight="1">
      <c r="A778" s="353" t="s">
        <v>2626</v>
      </c>
      <c r="B778" s="489" t="s">
        <v>304</v>
      </c>
      <c r="C778" s="490" t="s">
        <v>605</v>
      </c>
      <c r="D778" s="460" t="s">
        <v>1635</v>
      </c>
      <c r="E778" s="67">
        <v>197995</v>
      </c>
      <c r="F778" s="353"/>
      <c r="G778" s="67"/>
      <c r="H778" s="67"/>
      <c r="I778" s="67"/>
      <c r="J778" s="67" t="s">
        <v>793</v>
      </c>
      <c r="K778" s="67" t="s">
        <v>793</v>
      </c>
      <c r="L778" s="67" t="s">
        <v>793</v>
      </c>
      <c r="M778" s="67" t="s">
        <v>790</v>
      </c>
      <c r="N778" s="67">
        <v>20.802850719999999</v>
      </c>
      <c r="O778" s="353">
        <v>92.392669679999997</v>
      </c>
      <c r="P778" s="67" t="s">
        <v>794</v>
      </c>
      <c r="Q778" s="67" t="s">
        <v>775</v>
      </c>
      <c r="R778" s="470"/>
      <c r="S778" s="361"/>
      <c r="T778" s="91"/>
      <c r="U778" s="87"/>
      <c r="V778" s="67" t="s">
        <v>930</v>
      </c>
      <c r="W778" s="353"/>
      <c r="X778" s="457"/>
      <c r="Y778" s="457"/>
      <c r="Z778" s="457"/>
    </row>
    <row r="779" spans="1:26" ht="14.25" customHeight="1">
      <c r="A779" s="353" t="s">
        <v>2626</v>
      </c>
      <c r="B779" s="380" t="s">
        <v>304</v>
      </c>
      <c r="C779" s="381" t="s">
        <v>2013</v>
      </c>
      <c r="D779" s="355"/>
      <c r="E779" s="67">
        <v>197939</v>
      </c>
      <c r="F779" s="353"/>
      <c r="G779" s="67"/>
      <c r="H779" s="67"/>
      <c r="I779" s="67"/>
      <c r="J779" s="67" t="s">
        <v>793</v>
      </c>
      <c r="K779" s="67" t="s">
        <v>793</v>
      </c>
      <c r="L779" s="67" t="s">
        <v>793</v>
      </c>
      <c r="M779" s="67" t="s">
        <v>293</v>
      </c>
      <c r="N779" s="67">
        <v>20.832990649999999</v>
      </c>
      <c r="O779" s="67">
        <v>92.353683469999993</v>
      </c>
      <c r="P779" s="67" t="s">
        <v>794</v>
      </c>
      <c r="Q779" s="67"/>
      <c r="R779" s="365"/>
      <c r="S779" s="361"/>
      <c r="T779" s="91">
        <v>43300</v>
      </c>
      <c r="U779" s="87"/>
      <c r="V779" s="67"/>
      <c r="W779" s="353"/>
      <c r="X779" s="457"/>
      <c r="Y779" s="457"/>
      <c r="Z779" s="457"/>
    </row>
    <row r="780" spans="1:26" ht="14.25" customHeight="1">
      <c r="A780" s="353" t="s">
        <v>2626</v>
      </c>
      <c r="B780" s="489" t="s">
        <v>304</v>
      </c>
      <c r="C780" s="490" t="s">
        <v>2068</v>
      </c>
      <c r="D780" s="460"/>
      <c r="E780" s="67">
        <v>220733</v>
      </c>
      <c r="F780" s="353"/>
      <c r="G780" s="67"/>
      <c r="H780" s="67"/>
      <c r="I780" s="67"/>
      <c r="J780" s="67" t="s">
        <v>793</v>
      </c>
      <c r="K780" s="67" t="s">
        <v>793</v>
      </c>
      <c r="L780" s="67" t="s">
        <v>793</v>
      </c>
      <c r="M780" s="67" t="s">
        <v>293</v>
      </c>
      <c r="N780" s="67">
        <v>20.931335449999999</v>
      </c>
      <c r="O780" s="67">
        <v>92.381462099999993</v>
      </c>
      <c r="P780" s="67"/>
      <c r="Q780" s="67"/>
      <c r="R780" s="470"/>
      <c r="S780" s="466"/>
      <c r="T780" s="91">
        <v>43300</v>
      </c>
      <c r="U780" s="87"/>
      <c r="V780" s="67"/>
      <c r="W780" s="353"/>
      <c r="X780" s="457"/>
      <c r="Y780" s="457"/>
      <c r="Z780" s="457"/>
    </row>
    <row r="781" spans="1:26" ht="14.25" customHeight="1">
      <c r="A781" s="353" t="s">
        <v>2626</v>
      </c>
      <c r="B781" s="489" t="s">
        <v>304</v>
      </c>
      <c r="C781" s="490" t="s">
        <v>2021</v>
      </c>
      <c r="D781" s="460"/>
      <c r="E781" s="457">
        <v>197862</v>
      </c>
      <c r="F781" s="457"/>
      <c r="G781" s="67"/>
      <c r="H781" s="67"/>
      <c r="I781" s="67"/>
      <c r="J781" s="67" t="s">
        <v>793</v>
      </c>
      <c r="K781" s="67" t="s">
        <v>793</v>
      </c>
      <c r="L781" s="67" t="s">
        <v>793</v>
      </c>
      <c r="M781" s="67" t="s">
        <v>293</v>
      </c>
      <c r="N781" s="67">
        <v>21.094310759999999</v>
      </c>
      <c r="O781" s="67">
        <v>92.335670469999997</v>
      </c>
      <c r="P781" s="67"/>
      <c r="Q781" s="67"/>
      <c r="R781" s="470"/>
      <c r="S781" s="361"/>
      <c r="T781" s="91">
        <v>43300</v>
      </c>
      <c r="U781" s="87"/>
      <c r="V781" s="353"/>
      <c r="W781" s="353"/>
      <c r="X781" s="457"/>
      <c r="Y781" s="457"/>
      <c r="Z781" s="457"/>
    </row>
    <row r="782" spans="1:26" ht="14.25" customHeight="1">
      <c r="A782" s="409" t="s">
        <v>2626</v>
      </c>
      <c r="B782" s="410" t="s">
        <v>304</v>
      </c>
      <c r="C782" s="419" t="s">
        <v>2658</v>
      </c>
      <c r="D782" s="460"/>
      <c r="E782" s="411">
        <v>197800</v>
      </c>
      <c r="F782" s="411" t="s">
        <v>2659</v>
      </c>
      <c r="G782" s="411"/>
      <c r="H782" s="411"/>
      <c r="I782" s="411"/>
      <c r="J782" s="353" t="s">
        <v>793</v>
      </c>
      <c r="K782" s="353" t="s">
        <v>793</v>
      </c>
      <c r="L782" s="353" t="s">
        <v>793</v>
      </c>
      <c r="M782" s="411"/>
      <c r="N782" s="411">
        <v>21.363349914550799</v>
      </c>
      <c r="O782" s="411">
        <v>92.280487060546903</v>
      </c>
      <c r="P782" s="411"/>
      <c r="Q782" s="411" t="s">
        <v>2605</v>
      </c>
      <c r="R782" s="424"/>
      <c r="S782" s="421"/>
      <c r="T782" s="413">
        <v>43580</v>
      </c>
      <c r="U782" s="414" t="s">
        <v>2651</v>
      </c>
      <c r="V782" s="415"/>
      <c r="W782" s="461"/>
      <c r="X782" s="457"/>
      <c r="Y782" s="457"/>
      <c r="Z782" s="457"/>
    </row>
    <row r="783" spans="1:26" ht="14.25" customHeight="1">
      <c r="A783" s="353" t="s">
        <v>2626</v>
      </c>
      <c r="B783" s="479" t="s">
        <v>304</v>
      </c>
      <c r="C783" s="478" t="s">
        <v>656</v>
      </c>
      <c r="D783" s="402" t="s">
        <v>1635</v>
      </c>
      <c r="E783" s="67">
        <v>220734</v>
      </c>
      <c r="F783" s="67" t="s">
        <v>2614</v>
      </c>
      <c r="G783" s="67"/>
      <c r="H783" s="67"/>
      <c r="I783" s="67"/>
      <c r="J783" s="67" t="s">
        <v>793</v>
      </c>
      <c r="K783" s="67" t="s">
        <v>793</v>
      </c>
      <c r="L783" s="67" t="s">
        <v>793</v>
      </c>
      <c r="M783" s="67" t="s">
        <v>293</v>
      </c>
      <c r="N783" s="67">
        <v>20.910375599999998</v>
      </c>
      <c r="O783" s="67">
        <v>92.400138850000005</v>
      </c>
      <c r="P783" s="67" t="s">
        <v>794</v>
      </c>
      <c r="Q783" s="67" t="s">
        <v>797</v>
      </c>
      <c r="R783" s="465"/>
      <c r="S783" s="361"/>
      <c r="T783" s="91">
        <v>42926</v>
      </c>
      <c r="U783" s="87" t="s">
        <v>798</v>
      </c>
      <c r="V783" s="353"/>
      <c r="W783" s="353"/>
      <c r="X783" s="457"/>
      <c r="Y783" s="457"/>
      <c r="Z783" s="457"/>
    </row>
    <row r="784" spans="1:26" ht="14.25" customHeight="1">
      <c r="A784" s="353" t="s">
        <v>2626</v>
      </c>
      <c r="B784" s="489" t="s">
        <v>304</v>
      </c>
      <c r="C784" s="490" t="s">
        <v>308</v>
      </c>
      <c r="D784" s="460" t="s">
        <v>1635</v>
      </c>
      <c r="E784" s="67"/>
      <c r="F784" s="67"/>
      <c r="G784" s="67"/>
      <c r="H784" s="67"/>
      <c r="I784" s="67"/>
      <c r="J784" s="67" t="s">
        <v>793</v>
      </c>
      <c r="K784" s="67" t="s">
        <v>793</v>
      </c>
      <c r="L784" s="67" t="s">
        <v>793</v>
      </c>
      <c r="M784" s="67" t="s">
        <v>293</v>
      </c>
      <c r="N784" s="457"/>
      <c r="O784" s="457"/>
      <c r="P784" s="67" t="s">
        <v>794</v>
      </c>
      <c r="Q784" s="67" t="s">
        <v>775</v>
      </c>
      <c r="R784" s="470"/>
      <c r="S784" s="361"/>
      <c r="T784" s="91"/>
      <c r="U784" s="87"/>
      <c r="V784" s="353" t="s">
        <v>308</v>
      </c>
      <c r="W784" s="353"/>
      <c r="X784" s="457"/>
      <c r="Y784" s="457"/>
      <c r="Z784" s="457"/>
    </row>
    <row r="785" spans="1:26" ht="14.25" customHeight="1">
      <c r="A785" s="353" t="s">
        <v>2626</v>
      </c>
      <c r="B785" s="375" t="s">
        <v>304</v>
      </c>
      <c r="C785" s="374" t="s">
        <v>310</v>
      </c>
      <c r="D785" s="402" t="s">
        <v>1635</v>
      </c>
      <c r="E785" s="67"/>
      <c r="F785" s="67"/>
      <c r="G785" s="67"/>
      <c r="H785" s="67"/>
      <c r="I785" s="67"/>
      <c r="J785" s="67" t="s">
        <v>793</v>
      </c>
      <c r="K785" s="67" t="s">
        <v>793</v>
      </c>
      <c r="L785" s="67" t="s">
        <v>793</v>
      </c>
      <c r="M785" s="67" t="s">
        <v>790</v>
      </c>
      <c r="N785" s="67"/>
      <c r="O785" s="67"/>
      <c r="P785" s="67" t="s">
        <v>794</v>
      </c>
      <c r="Q785" s="67" t="s">
        <v>775</v>
      </c>
      <c r="R785" s="461"/>
      <c r="S785" s="462"/>
      <c r="T785" s="91"/>
      <c r="U785" s="87"/>
      <c r="V785" s="353" t="s">
        <v>1086</v>
      </c>
      <c r="W785" s="353"/>
      <c r="X785" s="457"/>
      <c r="Y785" s="457"/>
      <c r="Z785" s="457"/>
    </row>
    <row r="786" spans="1:26" ht="14.25" customHeight="1">
      <c r="A786" s="353" t="s">
        <v>2626</v>
      </c>
      <c r="B786" s="375" t="s">
        <v>304</v>
      </c>
      <c r="C786" s="374" t="s">
        <v>2263</v>
      </c>
      <c r="D786" s="402"/>
      <c r="E786" s="502">
        <v>196937</v>
      </c>
      <c r="F786" s="459" t="s">
        <v>2614</v>
      </c>
      <c r="G786" s="67"/>
      <c r="H786" s="67"/>
      <c r="I786" s="67"/>
      <c r="J786" s="67" t="s">
        <v>793</v>
      </c>
      <c r="K786" s="67" t="s">
        <v>793</v>
      </c>
      <c r="L786" s="67" t="s">
        <v>793</v>
      </c>
      <c r="M786" s="67" t="s">
        <v>293</v>
      </c>
      <c r="N786" s="457">
        <v>20.646560668945298</v>
      </c>
      <c r="O786" s="457">
        <v>92.976043701171903</v>
      </c>
      <c r="P786" s="67"/>
      <c r="Q786" s="67"/>
      <c r="R786" s="360"/>
      <c r="S786" s="361"/>
      <c r="T786" s="91"/>
      <c r="U786" s="87"/>
      <c r="V786" s="353"/>
      <c r="W786" s="353"/>
      <c r="X786" s="457"/>
      <c r="Y786" s="457"/>
      <c r="Z786" s="457"/>
    </row>
    <row r="787" spans="1:26" ht="14.25" customHeight="1">
      <c r="A787" s="353" t="s">
        <v>2626</v>
      </c>
      <c r="B787" s="375" t="s">
        <v>304</v>
      </c>
      <c r="C787" s="374" t="s">
        <v>2018</v>
      </c>
      <c r="D787" s="402"/>
      <c r="E787" s="67">
        <v>197947</v>
      </c>
      <c r="F787" s="353" t="s">
        <v>2614</v>
      </c>
      <c r="G787" s="67"/>
      <c r="H787" s="67"/>
      <c r="I787" s="67"/>
      <c r="J787" s="67" t="s">
        <v>793</v>
      </c>
      <c r="K787" s="67" t="s">
        <v>793</v>
      </c>
      <c r="L787" s="67" t="s">
        <v>793</v>
      </c>
      <c r="M787" s="67" t="s">
        <v>293</v>
      </c>
      <c r="N787" s="67">
        <v>20.899179459999999</v>
      </c>
      <c r="O787" s="67">
        <v>92.404052730000004</v>
      </c>
      <c r="P787" s="67"/>
      <c r="Q787" s="67"/>
      <c r="R787" s="356"/>
      <c r="S787" s="86"/>
      <c r="T787" s="91">
        <v>43300</v>
      </c>
      <c r="U787" s="87"/>
      <c r="V787" s="67"/>
      <c r="W787" s="353"/>
      <c r="X787" s="457"/>
      <c r="Y787" s="457"/>
      <c r="Z787" s="457"/>
    </row>
    <row r="788" spans="1:26" ht="14.25" customHeight="1">
      <c r="A788" s="353" t="s">
        <v>2626</v>
      </c>
      <c r="B788" s="489" t="s">
        <v>304</v>
      </c>
      <c r="C788" s="490" t="s">
        <v>618</v>
      </c>
      <c r="D788" s="460"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70"/>
      <c r="S788" s="361"/>
      <c r="T788" s="91">
        <v>43248</v>
      </c>
      <c r="U788" s="87" t="s">
        <v>1876</v>
      </c>
      <c r="V788" s="67"/>
      <c r="W788" s="353"/>
      <c r="X788" s="457"/>
      <c r="Y788" s="457"/>
      <c r="Z788" s="457"/>
    </row>
    <row r="789" spans="1:26" ht="14.25" customHeight="1">
      <c r="A789" s="353" t="s">
        <v>2626</v>
      </c>
      <c r="B789" s="479" t="s">
        <v>304</v>
      </c>
      <c r="C789" s="478" t="s">
        <v>2048</v>
      </c>
      <c r="D789" s="402" t="s">
        <v>1635</v>
      </c>
      <c r="E789" s="67">
        <v>197896</v>
      </c>
      <c r="F789" s="67"/>
      <c r="G789" s="67"/>
      <c r="H789" s="353"/>
      <c r="I789" s="67"/>
      <c r="J789" s="67" t="s">
        <v>793</v>
      </c>
      <c r="K789" s="67" t="s">
        <v>793</v>
      </c>
      <c r="L789" s="67" t="s">
        <v>793</v>
      </c>
      <c r="M789" s="67" t="s">
        <v>293</v>
      </c>
      <c r="N789" s="473">
        <v>20.991559980000002</v>
      </c>
      <c r="O789" s="473">
        <v>92.290878300000003</v>
      </c>
      <c r="P789" s="67" t="s">
        <v>794</v>
      </c>
      <c r="Q789" s="353" t="s">
        <v>775</v>
      </c>
      <c r="R789" s="465"/>
      <c r="S789" s="361"/>
      <c r="T789" s="376"/>
      <c r="U789" s="87"/>
      <c r="V789" s="67" t="s">
        <v>667</v>
      </c>
      <c r="W789" s="353"/>
      <c r="X789" s="457"/>
      <c r="Y789" s="457"/>
      <c r="Z789" s="457"/>
    </row>
    <row r="790" spans="1:26" ht="14.25" customHeight="1">
      <c r="A790" s="353" t="s">
        <v>2626</v>
      </c>
      <c r="B790" s="479" t="s">
        <v>304</v>
      </c>
      <c r="C790" s="478" t="s">
        <v>2053</v>
      </c>
      <c r="D790" s="402"/>
      <c r="E790" s="353">
        <v>197921</v>
      </c>
      <c r="F790" s="353"/>
      <c r="G790" s="353"/>
      <c r="H790" s="353"/>
      <c r="I790" s="353"/>
      <c r="J790" s="67" t="s">
        <v>793</v>
      </c>
      <c r="K790" s="353" t="s">
        <v>793</v>
      </c>
      <c r="L790" s="353" t="s">
        <v>793</v>
      </c>
      <c r="M790" s="67" t="s">
        <v>790</v>
      </c>
      <c r="N790" s="67">
        <v>20.9467392</v>
      </c>
      <c r="O790" s="67">
        <v>92.330482480000001</v>
      </c>
      <c r="P790" s="67"/>
      <c r="Q790" s="67"/>
      <c r="R790" s="465"/>
      <c r="S790" s="361"/>
      <c r="T790" s="91">
        <v>43300</v>
      </c>
      <c r="U790" s="87"/>
      <c r="V790" s="67"/>
      <c r="W790" s="353"/>
      <c r="X790" s="457"/>
      <c r="Y790" s="457"/>
      <c r="Z790" s="457"/>
    </row>
    <row r="791" spans="1:26" ht="14.25" customHeight="1">
      <c r="A791" s="353" t="s">
        <v>2626</v>
      </c>
      <c r="B791" s="479" t="s">
        <v>304</v>
      </c>
      <c r="C791" s="478" t="s">
        <v>2025</v>
      </c>
      <c r="D791" s="402"/>
      <c r="E791" s="67">
        <v>197970</v>
      </c>
      <c r="F791" s="353"/>
      <c r="G791" s="67"/>
      <c r="H791" s="67"/>
      <c r="I791" s="67"/>
      <c r="J791" s="67" t="s">
        <v>793</v>
      </c>
      <c r="K791" s="67" t="s">
        <v>793</v>
      </c>
      <c r="L791" s="67" t="s">
        <v>793</v>
      </c>
      <c r="M791" s="67" t="s">
        <v>790</v>
      </c>
      <c r="N791" s="473">
        <v>20.86484909</v>
      </c>
      <c r="O791" s="473">
        <v>92.347358700000001</v>
      </c>
      <c r="P791" s="67"/>
      <c r="Q791" s="67"/>
      <c r="R791" s="465"/>
      <c r="S791" s="466"/>
      <c r="T791" s="91">
        <v>43300</v>
      </c>
      <c r="U791" s="87"/>
      <c r="V791" s="67"/>
      <c r="W791" s="353"/>
      <c r="X791" s="457"/>
      <c r="Y791" s="457"/>
      <c r="Z791" s="457"/>
    </row>
    <row r="792" spans="1:26" ht="14.25" customHeight="1">
      <c r="A792" s="353" t="s">
        <v>2626</v>
      </c>
      <c r="B792" s="375" t="s">
        <v>304</v>
      </c>
      <c r="C792" s="374" t="s">
        <v>564</v>
      </c>
      <c r="D792" s="402"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6"/>
      <c r="S792" s="357"/>
      <c r="T792" s="91"/>
      <c r="U792" s="87"/>
      <c r="V792" s="67" t="s">
        <v>564</v>
      </c>
      <c r="W792" s="353"/>
      <c r="X792" s="457"/>
      <c r="Y792" s="457"/>
      <c r="Z792" s="457"/>
    </row>
    <row r="793" spans="1:26" ht="14.25" customHeight="1">
      <c r="A793" s="353" t="s">
        <v>2626</v>
      </c>
      <c r="B793" s="375" t="s">
        <v>304</v>
      </c>
      <c r="C793" s="374" t="s">
        <v>314</v>
      </c>
      <c r="D793" s="402" t="s">
        <v>1635</v>
      </c>
      <c r="E793" s="67"/>
      <c r="F793" s="67"/>
      <c r="G793" s="67"/>
      <c r="H793" s="67"/>
      <c r="I793" s="67"/>
      <c r="J793" s="67" t="s">
        <v>793</v>
      </c>
      <c r="K793" s="67" t="s">
        <v>793</v>
      </c>
      <c r="L793" s="67" t="s">
        <v>793</v>
      </c>
      <c r="M793" s="67" t="s">
        <v>293</v>
      </c>
      <c r="N793" s="353"/>
      <c r="O793" s="353"/>
      <c r="P793" s="67" t="s">
        <v>794</v>
      </c>
      <c r="Q793" s="67" t="s">
        <v>775</v>
      </c>
      <c r="R793" s="465"/>
      <c r="S793" s="466"/>
      <c r="T793" s="91"/>
      <c r="U793" s="87"/>
      <c r="V793" s="67" t="s">
        <v>314</v>
      </c>
      <c r="W793" s="353"/>
      <c r="X793" s="457"/>
      <c r="Y793" s="457"/>
      <c r="Z793" s="457"/>
    </row>
    <row r="794" spans="1:26" ht="14.25" customHeight="1">
      <c r="A794" s="353" t="s">
        <v>2626</v>
      </c>
      <c r="B794" s="380" t="s">
        <v>304</v>
      </c>
      <c r="C794" s="381" t="s">
        <v>558</v>
      </c>
      <c r="D794" s="355" t="s">
        <v>1635</v>
      </c>
      <c r="E794" s="353" t="s">
        <v>1382</v>
      </c>
      <c r="F794" s="353"/>
      <c r="G794" s="353"/>
      <c r="H794" s="353" t="s">
        <v>41</v>
      </c>
      <c r="I794" s="353"/>
      <c r="J794" s="353" t="s">
        <v>793</v>
      </c>
      <c r="K794" s="353" t="s">
        <v>793</v>
      </c>
      <c r="L794" s="353" t="s">
        <v>1635</v>
      </c>
      <c r="M794" s="353" t="s">
        <v>790</v>
      </c>
      <c r="N794" s="353">
        <v>20.714846999999999</v>
      </c>
      <c r="O794" s="353">
        <v>92.443427999999997</v>
      </c>
      <c r="P794" s="353" t="s">
        <v>756</v>
      </c>
      <c r="Q794" s="353" t="s">
        <v>775</v>
      </c>
      <c r="R794" s="470"/>
      <c r="S794" s="466"/>
      <c r="T794" s="376">
        <v>43248</v>
      </c>
      <c r="U794" s="358" t="s">
        <v>1876</v>
      </c>
      <c r="V794" s="353"/>
      <c r="W794" s="353"/>
      <c r="X794" s="457"/>
      <c r="Y794" s="457"/>
      <c r="Z794" s="457"/>
    </row>
    <row r="795" spans="1:26" ht="14.25" customHeight="1">
      <c r="A795" s="353" t="s">
        <v>2626</v>
      </c>
      <c r="B795" s="380" t="s">
        <v>304</v>
      </c>
      <c r="C795" s="381" t="s">
        <v>316</v>
      </c>
      <c r="D795" s="355" t="s">
        <v>1635</v>
      </c>
      <c r="E795" s="457"/>
      <c r="F795" s="67"/>
      <c r="G795" s="67"/>
      <c r="H795" s="67"/>
      <c r="I795" s="67"/>
      <c r="J795" s="67" t="s">
        <v>793</v>
      </c>
      <c r="K795" s="353" t="s">
        <v>793</v>
      </c>
      <c r="L795" s="353" t="s">
        <v>793</v>
      </c>
      <c r="M795" s="67" t="s">
        <v>790</v>
      </c>
      <c r="N795" s="67"/>
      <c r="O795" s="67"/>
      <c r="P795" s="67" t="s">
        <v>794</v>
      </c>
      <c r="Q795" s="67" t="s">
        <v>775</v>
      </c>
      <c r="R795" s="470"/>
      <c r="S795" s="466"/>
      <c r="T795" s="481"/>
      <c r="U795" s="87"/>
      <c r="V795" s="67" t="s">
        <v>316</v>
      </c>
      <c r="W795" s="353"/>
      <c r="X795" s="457"/>
      <c r="Y795" s="457"/>
      <c r="Z795" s="457"/>
    </row>
    <row r="796" spans="1:26" ht="14.25" customHeight="1">
      <c r="A796" s="353" t="s">
        <v>2626</v>
      </c>
      <c r="B796" s="380" t="s">
        <v>304</v>
      </c>
      <c r="C796" s="381" t="s">
        <v>2065</v>
      </c>
      <c r="D796" s="355"/>
      <c r="E796" s="353">
        <v>197934</v>
      </c>
      <c r="F796" s="353"/>
      <c r="G796" s="353"/>
      <c r="H796" s="353"/>
      <c r="I796" s="353"/>
      <c r="J796" s="67" t="s">
        <v>793</v>
      </c>
      <c r="K796" s="353" t="s">
        <v>793</v>
      </c>
      <c r="L796" s="353" t="s">
        <v>793</v>
      </c>
      <c r="M796" s="353" t="s">
        <v>790</v>
      </c>
      <c r="N796" s="353">
        <v>20.857500080000001</v>
      </c>
      <c r="O796" s="353">
        <v>92.357841489999998</v>
      </c>
      <c r="P796" s="67"/>
      <c r="Q796" s="353"/>
      <c r="R796" s="364"/>
      <c r="S796" s="357"/>
      <c r="T796" s="376">
        <v>43300</v>
      </c>
      <c r="U796" s="358"/>
      <c r="V796" s="353"/>
      <c r="W796" s="353"/>
      <c r="X796" s="457"/>
      <c r="Y796" s="457"/>
      <c r="Z796" s="457"/>
    </row>
    <row r="797" spans="1:26" ht="14.25" customHeight="1">
      <c r="A797" s="353" t="s">
        <v>2626</v>
      </c>
      <c r="B797" s="375" t="s">
        <v>304</v>
      </c>
      <c r="C797" s="374" t="s">
        <v>646</v>
      </c>
      <c r="D797" s="402"/>
      <c r="E797" s="67">
        <v>197941</v>
      </c>
      <c r="F797" s="67"/>
      <c r="G797" s="67"/>
      <c r="H797" s="67"/>
      <c r="I797" s="67"/>
      <c r="J797" s="67" t="s">
        <v>793</v>
      </c>
      <c r="K797" s="353" t="s">
        <v>793</v>
      </c>
      <c r="L797" s="353" t="s">
        <v>793</v>
      </c>
      <c r="M797" s="67" t="s">
        <v>790</v>
      </c>
      <c r="N797" s="67">
        <v>20.83185005</v>
      </c>
      <c r="O797" s="353">
        <v>92.359428410000007</v>
      </c>
      <c r="P797" s="67"/>
      <c r="Q797" s="67"/>
      <c r="R797" s="356"/>
      <c r="S797" s="86"/>
      <c r="T797" s="91">
        <v>43300</v>
      </c>
      <c r="U797" s="87"/>
      <c r="V797" s="67"/>
      <c r="W797" s="353"/>
      <c r="X797" s="457"/>
      <c r="Y797" s="457"/>
      <c r="Z797" s="457"/>
    </row>
    <row r="798" spans="1:26" ht="14.25" customHeight="1">
      <c r="A798" s="353" t="s">
        <v>2626</v>
      </c>
      <c r="B798" s="479" t="s">
        <v>304</v>
      </c>
      <c r="C798" s="478" t="s">
        <v>2042</v>
      </c>
      <c r="D798" s="402"/>
      <c r="E798" s="353">
        <v>197872</v>
      </c>
      <c r="F798" s="353"/>
      <c r="G798" s="353"/>
      <c r="H798" s="353"/>
      <c r="I798" s="353"/>
      <c r="J798" s="353" t="s">
        <v>793</v>
      </c>
      <c r="K798" s="353" t="s">
        <v>793</v>
      </c>
      <c r="L798" s="353" t="s">
        <v>793</v>
      </c>
      <c r="M798" s="353" t="s">
        <v>2061</v>
      </c>
      <c r="N798" s="353">
        <v>21.07212067</v>
      </c>
      <c r="O798" s="353">
        <v>92.314163210000004</v>
      </c>
      <c r="P798" s="353"/>
      <c r="Q798" s="353"/>
      <c r="R798" s="461"/>
      <c r="S798" s="357"/>
      <c r="T798" s="376">
        <v>43300</v>
      </c>
      <c r="U798" s="358"/>
      <c r="V798" s="353"/>
      <c r="W798" s="353"/>
      <c r="X798" s="457"/>
      <c r="Y798" s="457"/>
      <c r="Z798" s="457"/>
    </row>
    <row r="799" spans="1:26" ht="14.25" customHeight="1">
      <c r="A799" s="353" t="s">
        <v>2626</v>
      </c>
      <c r="B799" s="489" t="s">
        <v>304</v>
      </c>
      <c r="C799" s="490" t="s">
        <v>557</v>
      </c>
      <c r="D799" s="460"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9"/>
      <c r="S799" s="357"/>
      <c r="T799" s="91"/>
      <c r="U799" s="87"/>
      <c r="V799" s="67" t="s">
        <v>557</v>
      </c>
      <c r="W799" s="353"/>
      <c r="X799" s="457"/>
      <c r="Y799" s="457"/>
      <c r="Z799" s="457"/>
    </row>
    <row r="800" spans="1:26" ht="14.25" customHeight="1">
      <c r="A800" s="353" t="s">
        <v>2626</v>
      </c>
      <c r="B800" s="380" t="s">
        <v>304</v>
      </c>
      <c r="C800" s="381" t="s">
        <v>678</v>
      </c>
      <c r="D800" s="355" t="s">
        <v>1635</v>
      </c>
      <c r="E800" s="153">
        <v>220731</v>
      </c>
      <c r="F800" s="353"/>
      <c r="G800" s="353"/>
      <c r="H800" s="353"/>
      <c r="I800" s="353"/>
      <c r="J800" s="67" t="s">
        <v>793</v>
      </c>
      <c r="K800" s="67" t="s">
        <v>793</v>
      </c>
      <c r="L800" s="67" t="s">
        <v>793</v>
      </c>
      <c r="M800" s="353" t="s">
        <v>678</v>
      </c>
      <c r="N800" s="353">
        <v>21.027990339999999</v>
      </c>
      <c r="O800" s="353">
        <v>92.298881530000003</v>
      </c>
      <c r="P800" s="67" t="s">
        <v>794</v>
      </c>
      <c r="Q800" s="353" t="s">
        <v>775</v>
      </c>
      <c r="R800" s="364"/>
      <c r="S800" s="357"/>
      <c r="T800" s="155">
        <v>43300</v>
      </c>
      <c r="U800" s="358"/>
      <c r="V800" s="353" t="s">
        <v>678</v>
      </c>
      <c r="W800" s="353"/>
      <c r="X800" s="457"/>
      <c r="Y800" s="457"/>
      <c r="Z800" s="457"/>
    </row>
    <row r="801" spans="1:26" ht="14.25" customHeight="1">
      <c r="A801" s="353" t="s">
        <v>2626</v>
      </c>
      <c r="B801" s="489" t="s">
        <v>304</v>
      </c>
      <c r="C801" s="490" t="s">
        <v>556</v>
      </c>
      <c r="D801" s="460" t="s">
        <v>1635</v>
      </c>
      <c r="E801" s="67" t="s">
        <v>1381</v>
      </c>
      <c r="F801" s="353"/>
      <c r="G801" s="67"/>
      <c r="H801" s="353" t="s">
        <v>41</v>
      </c>
      <c r="I801" s="67"/>
      <c r="J801" s="67" t="s">
        <v>793</v>
      </c>
      <c r="K801" s="353" t="s">
        <v>793</v>
      </c>
      <c r="L801" s="353" t="s">
        <v>1635</v>
      </c>
      <c r="M801" s="67" t="s">
        <v>790</v>
      </c>
      <c r="N801" s="67">
        <v>20.713882999999999</v>
      </c>
      <c r="O801" s="353">
        <v>92.435378</v>
      </c>
      <c r="P801" s="67" t="s">
        <v>756</v>
      </c>
      <c r="Q801" s="353" t="s">
        <v>775</v>
      </c>
      <c r="R801" s="469"/>
      <c r="S801" s="357"/>
      <c r="T801" s="376">
        <v>43248</v>
      </c>
      <c r="U801" s="358" t="s">
        <v>1876</v>
      </c>
      <c r="V801" s="67"/>
      <c r="W801" s="353"/>
      <c r="X801" s="457"/>
      <c r="Y801" s="457"/>
      <c r="Z801" s="457"/>
    </row>
    <row r="802" spans="1:26" ht="14.25" customHeight="1">
      <c r="A802" s="353" t="s">
        <v>2626</v>
      </c>
      <c r="B802" s="375" t="s">
        <v>304</v>
      </c>
      <c r="C802" s="374" t="s">
        <v>664</v>
      </c>
      <c r="D802" s="402"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6"/>
      <c r="S802" s="357"/>
      <c r="T802" s="91">
        <v>42926</v>
      </c>
      <c r="U802" s="87" t="s">
        <v>798</v>
      </c>
      <c r="V802" s="67"/>
      <c r="W802" s="353"/>
      <c r="X802" s="457"/>
      <c r="Y802" s="457"/>
      <c r="Z802" s="457"/>
    </row>
    <row r="803" spans="1:26" ht="14.25" customHeight="1">
      <c r="A803" s="353" t="s">
        <v>2626</v>
      </c>
      <c r="B803" s="489" t="s">
        <v>304</v>
      </c>
      <c r="C803" s="490" t="s">
        <v>665</v>
      </c>
      <c r="D803" s="460" t="s">
        <v>1635</v>
      </c>
      <c r="E803" s="353">
        <v>197913</v>
      </c>
      <c r="F803" s="353"/>
      <c r="G803" s="353"/>
      <c r="H803" s="353"/>
      <c r="I803" s="353"/>
      <c r="J803" s="353" t="s">
        <v>793</v>
      </c>
      <c r="K803" s="353" t="s">
        <v>793</v>
      </c>
      <c r="L803" s="353" t="s">
        <v>793</v>
      </c>
      <c r="M803" s="353" t="s">
        <v>790</v>
      </c>
      <c r="N803" s="353">
        <v>20.987419129999999</v>
      </c>
      <c r="O803" s="353">
        <v>92.362136840000005</v>
      </c>
      <c r="P803" s="353" t="s">
        <v>794</v>
      </c>
      <c r="Q803" s="353" t="s">
        <v>775</v>
      </c>
      <c r="R803" s="469"/>
      <c r="S803" s="357"/>
      <c r="T803" s="376">
        <v>42745</v>
      </c>
      <c r="U803" s="358"/>
      <c r="V803" s="353" t="s">
        <v>947</v>
      </c>
      <c r="W803" s="353"/>
      <c r="X803" s="457"/>
      <c r="Y803" s="457"/>
      <c r="Z803" s="457"/>
    </row>
    <row r="804" spans="1:26" ht="14.25" customHeight="1">
      <c r="A804" s="353" t="s">
        <v>2626</v>
      </c>
      <c r="B804" s="375" t="s">
        <v>304</v>
      </c>
      <c r="C804" s="374" t="s">
        <v>2069</v>
      </c>
      <c r="D804" s="402"/>
      <c r="E804" s="67">
        <v>197913</v>
      </c>
      <c r="F804" s="353"/>
      <c r="G804" s="67"/>
      <c r="H804" s="67"/>
      <c r="I804" s="67"/>
      <c r="J804" s="67" t="s">
        <v>793</v>
      </c>
      <c r="K804" s="353" t="s">
        <v>793</v>
      </c>
      <c r="L804" s="353" t="s">
        <v>793</v>
      </c>
      <c r="M804" s="67" t="s">
        <v>293</v>
      </c>
      <c r="N804" s="67">
        <v>20.987419129999999</v>
      </c>
      <c r="O804" s="67">
        <v>92.362136840000005</v>
      </c>
      <c r="P804" s="67"/>
      <c r="Q804" s="67"/>
      <c r="R804" s="356"/>
      <c r="S804" s="357"/>
      <c r="T804" s="91">
        <v>43300</v>
      </c>
      <c r="U804" s="87"/>
      <c r="V804" s="67"/>
      <c r="W804" s="353"/>
      <c r="X804" s="457"/>
      <c r="Y804" s="457"/>
      <c r="Z804" s="457"/>
    </row>
    <row r="805" spans="1:26" ht="14.25" customHeight="1">
      <c r="A805" s="353" t="s">
        <v>2626</v>
      </c>
      <c r="B805" s="380" t="s">
        <v>304</v>
      </c>
      <c r="C805" s="381" t="s">
        <v>2056</v>
      </c>
      <c r="D805" s="355"/>
      <c r="E805" s="353">
        <v>198084</v>
      </c>
      <c r="F805" s="67"/>
      <c r="G805" s="67"/>
      <c r="H805" s="67"/>
      <c r="I805" s="353"/>
      <c r="J805" s="67" t="s">
        <v>793</v>
      </c>
      <c r="K805" s="67" t="s">
        <v>793</v>
      </c>
      <c r="L805" s="353" t="s">
        <v>793</v>
      </c>
      <c r="M805" s="67" t="s">
        <v>293</v>
      </c>
      <c r="N805" s="67">
        <v>20.51251984</v>
      </c>
      <c r="O805" s="67">
        <v>92.582893369999994</v>
      </c>
      <c r="P805" s="67"/>
      <c r="Q805" s="67"/>
      <c r="R805" s="364"/>
      <c r="S805" s="357"/>
      <c r="T805" s="91">
        <v>43300</v>
      </c>
      <c r="U805" s="87"/>
      <c r="V805" s="67"/>
      <c r="W805" s="353"/>
      <c r="X805" s="457"/>
      <c r="Y805" s="457"/>
      <c r="Z805" s="457"/>
    </row>
    <row r="806" spans="1:26" ht="14.25" customHeight="1">
      <c r="A806" s="353" t="s">
        <v>2626</v>
      </c>
      <c r="B806" s="375" t="s">
        <v>304</v>
      </c>
      <c r="C806" s="374" t="s">
        <v>2084</v>
      </c>
      <c r="D806" s="402"/>
      <c r="E806" s="353"/>
      <c r="F806" s="353"/>
      <c r="G806" s="353"/>
      <c r="H806" s="353"/>
      <c r="I806" s="353"/>
      <c r="J806" s="353" t="s">
        <v>793</v>
      </c>
      <c r="K806" s="353" t="s">
        <v>793</v>
      </c>
      <c r="L806" s="353" t="s">
        <v>793</v>
      </c>
      <c r="M806" s="353" t="s">
        <v>293</v>
      </c>
      <c r="N806" s="353"/>
      <c r="O806" s="353"/>
      <c r="P806" s="353"/>
      <c r="Q806" s="353"/>
      <c r="R806" s="356"/>
      <c r="S806" s="357"/>
      <c r="T806" s="376">
        <v>43300</v>
      </c>
      <c r="U806" s="358"/>
      <c r="V806" s="353"/>
      <c r="W806" s="353"/>
      <c r="X806" s="457"/>
      <c r="Y806" s="457"/>
      <c r="Z806" s="457"/>
    </row>
    <row r="807" spans="1:26" ht="14.25" customHeight="1">
      <c r="A807" s="353" t="s">
        <v>2626</v>
      </c>
      <c r="B807" s="479" t="s">
        <v>304</v>
      </c>
      <c r="C807" s="478" t="s">
        <v>1879</v>
      </c>
      <c r="D807" s="402"/>
      <c r="E807" s="67">
        <v>197969</v>
      </c>
      <c r="F807" s="353" t="s">
        <v>2507</v>
      </c>
      <c r="G807" s="67"/>
      <c r="H807" s="67"/>
      <c r="I807" s="67"/>
      <c r="J807" s="67" t="s">
        <v>793</v>
      </c>
      <c r="K807" s="67" t="s">
        <v>793</v>
      </c>
      <c r="L807" s="67" t="s">
        <v>793</v>
      </c>
      <c r="M807" s="67" t="s">
        <v>790</v>
      </c>
      <c r="N807" s="67">
        <v>20.866529459999999</v>
      </c>
      <c r="O807" s="67">
        <v>92.364883419999998</v>
      </c>
      <c r="P807" s="67" t="s">
        <v>794</v>
      </c>
      <c r="Q807" s="67" t="s">
        <v>1883</v>
      </c>
      <c r="R807" s="461"/>
      <c r="S807" s="357"/>
      <c r="T807" s="91">
        <v>43245</v>
      </c>
      <c r="U807" s="87"/>
      <c r="V807" s="67"/>
      <c r="W807" s="353"/>
      <c r="X807" s="457"/>
      <c r="Y807" s="457"/>
      <c r="Z807" s="457"/>
    </row>
    <row r="808" spans="1:26" ht="14.25" customHeight="1">
      <c r="A808" s="353" t="s">
        <v>2626</v>
      </c>
      <c r="B808" s="479" t="s">
        <v>304</v>
      </c>
      <c r="C808" s="478" t="s">
        <v>2067</v>
      </c>
      <c r="D808" s="402"/>
      <c r="E808" s="353">
        <v>197936</v>
      </c>
      <c r="F808" s="67"/>
      <c r="G808" s="67"/>
      <c r="H808" s="67"/>
      <c r="I808" s="353"/>
      <c r="J808" s="67" t="s">
        <v>793</v>
      </c>
      <c r="K808" s="67" t="s">
        <v>793</v>
      </c>
      <c r="L808" s="353" t="s">
        <v>793</v>
      </c>
      <c r="M808" s="67" t="s">
        <v>293</v>
      </c>
      <c r="N808" s="67">
        <v>20.84993935</v>
      </c>
      <c r="O808" s="67">
        <v>92.348213200000004</v>
      </c>
      <c r="P808" s="67"/>
      <c r="Q808" s="67"/>
      <c r="R808" s="461"/>
      <c r="S808" s="357"/>
      <c r="T808" s="91">
        <v>43300</v>
      </c>
      <c r="U808" s="87"/>
      <c r="V808" s="67"/>
      <c r="W808" s="353"/>
      <c r="X808" s="457"/>
      <c r="Y808" s="457"/>
      <c r="Z808" s="457"/>
    </row>
    <row r="809" spans="1:26" ht="14.25" customHeight="1">
      <c r="A809" s="353" t="s">
        <v>2626</v>
      </c>
      <c r="B809" s="479" t="s">
        <v>304</v>
      </c>
      <c r="C809" s="374" t="s">
        <v>2031</v>
      </c>
      <c r="D809" s="402"/>
      <c r="E809" s="353">
        <v>197986</v>
      </c>
      <c r="F809" s="353"/>
      <c r="G809" s="353"/>
      <c r="H809" s="353"/>
      <c r="I809" s="353"/>
      <c r="J809" s="353" t="s">
        <v>793</v>
      </c>
      <c r="K809" s="353" t="s">
        <v>793</v>
      </c>
      <c r="L809" s="353" t="s">
        <v>793</v>
      </c>
      <c r="M809" s="353" t="s">
        <v>790</v>
      </c>
      <c r="N809" s="353">
        <v>20.819730759999999</v>
      </c>
      <c r="O809" s="353">
        <v>92.376846310000005</v>
      </c>
      <c r="P809" s="353"/>
      <c r="Q809" s="457"/>
      <c r="R809" s="461"/>
      <c r="S809" s="357"/>
      <c r="T809" s="481">
        <v>43300</v>
      </c>
      <c r="U809" s="358"/>
      <c r="V809" s="353"/>
      <c r="W809" s="353"/>
      <c r="X809" s="457"/>
      <c r="Y809" s="457"/>
      <c r="Z809" s="457"/>
    </row>
    <row r="810" spans="1:26" ht="14.25" customHeight="1">
      <c r="A810" s="353" t="s">
        <v>2626</v>
      </c>
      <c r="B810" s="380" t="s">
        <v>304</v>
      </c>
      <c r="C810" s="381" t="s">
        <v>366</v>
      </c>
      <c r="D810" s="355"/>
      <c r="E810" s="67">
        <v>197967</v>
      </c>
      <c r="F810" s="67"/>
      <c r="G810" s="67"/>
      <c r="H810" s="67"/>
      <c r="I810" s="67"/>
      <c r="J810" s="67" t="s">
        <v>793</v>
      </c>
      <c r="K810" s="67" t="s">
        <v>793</v>
      </c>
      <c r="L810" s="67" t="s">
        <v>793</v>
      </c>
      <c r="M810" s="67" t="s">
        <v>790</v>
      </c>
      <c r="N810" s="67">
        <v>20.872419359999999</v>
      </c>
      <c r="O810" s="67">
        <v>92.352493289999998</v>
      </c>
      <c r="P810" s="67"/>
      <c r="Q810" s="67"/>
      <c r="R810" s="364"/>
      <c r="S810" s="357"/>
      <c r="T810" s="91">
        <v>43300</v>
      </c>
      <c r="U810" s="87"/>
      <c r="V810" s="67"/>
      <c r="W810" s="353"/>
      <c r="X810" s="457"/>
      <c r="Y810" s="457"/>
      <c r="Z810" s="457"/>
    </row>
    <row r="811" spans="1:26" ht="14.25" customHeight="1">
      <c r="A811" s="353" t="s">
        <v>2626</v>
      </c>
      <c r="B811" s="479" t="s">
        <v>304</v>
      </c>
      <c r="C811" s="478" t="s">
        <v>2506</v>
      </c>
      <c r="D811" s="402"/>
      <c r="E811" s="67"/>
      <c r="F811" s="67"/>
      <c r="G811" s="67"/>
      <c r="H811" s="67"/>
      <c r="I811" s="67"/>
      <c r="J811" s="67" t="s">
        <v>793</v>
      </c>
      <c r="K811" s="67" t="s">
        <v>793</v>
      </c>
      <c r="L811" s="67" t="s">
        <v>793</v>
      </c>
      <c r="M811" s="67" t="s">
        <v>790</v>
      </c>
      <c r="N811" s="67"/>
      <c r="O811" s="67"/>
      <c r="P811" s="67"/>
      <c r="Q811" s="67"/>
      <c r="R811" s="461"/>
      <c r="S811" s="357"/>
      <c r="T811" s="91"/>
      <c r="U811" s="87"/>
      <c r="V811" s="67"/>
      <c r="W811" s="353"/>
      <c r="X811" s="457"/>
      <c r="Y811" s="457"/>
      <c r="Z811" s="457"/>
    </row>
    <row r="812" spans="1:26" ht="14.25" customHeight="1">
      <c r="A812" s="353" t="s">
        <v>2626</v>
      </c>
      <c r="B812" s="489" t="s">
        <v>304</v>
      </c>
      <c r="C812" s="490" t="s">
        <v>2066</v>
      </c>
      <c r="D812" s="355"/>
      <c r="E812" s="67">
        <v>197935</v>
      </c>
      <c r="F812" s="67"/>
      <c r="G812" s="67"/>
      <c r="H812" s="67"/>
      <c r="I812" s="67"/>
      <c r="J812" s="67" t="s">
        <v>793</v>
      </c>
      <c r="K812" s="457" t="s">
        <v>793</v>
      </c>
      <c r="L812" s="457" t="s">
        <v>793</v>
      </c>
      <c r="M812" s="67" t="s">
        <v>790</v>
      </c>
      <c r="N812" s="67">
        <v>20.85008049</v>
      </c>
      <c r="O812" s="67">
        <v>92.353576660000002</v>
      </c>
      <c r="P812" s="67"/>
      <c r="Q812" s="67"/>
      <c r="R812" s="469"/>
      <c r="S812" s="357"/>
      <c r="T812" s="91">
        <v>43300</v>
      </c>
      <c r="U812" s="87"/>
      <c r="V812" s="67"/>
      <c r="W812" s="353"/>
      <c r="X812" s="457"/>
      <c r="Y812" s="457"/>
      <c r="Z812" s="457"/>
    </row>
    <row r="813" spans="1:26" ht="14.25" customHeight="1">
      <c r="A813" s="353" t="s">
        <v>2626</v>
      </c>
      <c r="B813" s="489" t="s">
        <v>304</v>
      </c>
      <c r="C813" s="490" t="s">
        <v>628</v>
      </c>
      <c r="D813" s="460" t="s">
        <v>1635</v>
      </c>
      <c r="E813" s="67">
        <v>197992</v>
      </c>
      <c r="F813" s="353"/>
      <c r="G813" s="67"/>
      <c r="H813" s="67"/>
      <c r="I813" s="67"/>
      <c r="J813" s="67" t="s">
        <v>793</v>
      </c>
      <c r="K813" s="457" t="s">
        <v>793</v>
      </c>
      <c r="L813" s="457" t="s">
        <v>793</v>
      </c>
      <c r="M813" s="67" t="s">
        <v>790</v>
      </c>
      <c r="N813" s="67">
        <v>20.83049011</v>
      </c>
      <c r="O813" s="67">
        <v>92.393707280000001</v>
      </c>
      <c r="P813" s="67" t="s">
        <v>794</v>
      </c>
      <c r="Q813" s="67" t="s">
        <v>775</v>
      </c>
      <c r="R813" s="469"/>
      <c r="S813" s="357"/>
      <c r="T813" s="91"/>
      <c r="U813" s="87"/>
      <c r="V813" s="67" t="s">
        <v>628</v>
      </c>
      <c r="W813" s="353"/>
      <c r="X813" s="457"/>
      <c r="Y813" s="457"/>
      <c r="Z813" s="457"/>
    </row>
    <row r="814" spans="1:26" ht="14.25" customHeight="1">
      <c r="A814" s="353" t="s">
        <v>2626</v>
      </c>
      <c r="B814" s="380" t="s">
        <v>304</v>
      </c>
      <c r="C814" s="478" t="s">
        <v>624</v>
      </c>
      <c r="D814" s="355" t="s">
        <v>1635</v>
      </c>
      <c r="E814" s="67">
        <v>197989</v>
      </c>
      <c r="F814" s="67"/>
      <c r="G814" s="67"/>
      <c r="H814" s="67"/>
      <c r="I814" s="67"/>
      <c r="J814" s="67" t="s">
        <v>793</v>
      </c>
      <c r="K814" s="457" t="s">
        <v>793</v>
      </c>
      <c r="L814" s="457" t="s">
        <v>793</v>
      </c>
      <c r="M814" s="67" t="s">
        <v>790</v>
      </c>
      <c r="N814" s="67">
        <v>20.82498932</v>
      </c>
      <c r="O814" s="67">
        <v>92.390571589999993</v>
      </c>
      <c r="P814" s="67" t="s">
        <v>794</v>
      </c>
      <c r="Q814" s="459" t="s">
        <v>775</v>
      </c>
      <c r="R814" s="364"/>
      <c r="S814" s="357"/>
      <c r="T814" s="482"/>
      <c r="U814" s="87"/>
      <c r="V814" s="67" t="s">
        <v>624</v>
      </c>
      <c r="W814" s="353"/>
      <c r="X814" s="457"/>
      <c r="Y814" s="457"/>
      <c r="Z814" s="457"/>
    </row>
    <row r="815" spans="1:26" ht="14.25" customHeight="1">
      <c r="A815" s="353" t="s">
        <v>2626</v>
      </c>
      <c r="B815" s="489" t="s">
        <v>304</v>
      </c>
      <c r="C815" s="490" t="s">
        <v>2015</v>
      </c>
      <c r="D815" s="460"/>
      <c r="E815" s="67">
        <v>197937</v>
      </c>
      <c r="F815" s="67"/>
      <c r="G815" s="67"/>
      <c r="H815" s="67"/>
      <c r="I815" s="67"/>
      <c r="J815" s="67" t="s">
        <v>793</v>
      </c>
      <c r="K815" s="457" t="s">
        <v>793</v>
      </c>
      <c r="L815" s="457" t="s">
        <v>793</v>
      </c>
      <c r="M815" s="67" t="s">
        <v>790</v>
      </c>
      <c r="N815" s="67">
        <v>20.845720289999999</v>
      </c>
      <c r="O815" s="67">
        <v>92.353950499999996</v>
      </c>
      <c r="P815" s="67"/>
      <c r="Q815" s="67"/>
      <c r="R815" s="469"/>
      <c r="S815" s="357"/>
      <c r="T815" s="91">
        <v>43300</v>
      </c>
      <c r="U815" s="87"/>
      <c r="V815" s="67"/>
      <c r="W815" s="353"/>
      <c r="X815" s="457"/>
      <c r="Y815" s="457"/>
      <c r="Z815" s="457"/>
    </row>
    <row r="816" spans="1:26" ht="14.25" customHeight="1">
      <c r="A816" s="353" t="s">
        <v>2626</v>
      </c>
      <c r="B816" s="380" t="s">
        <v>304</v>
      </c>
      <c r="C816" s="381" t="s">
        <v>620</v>
      </c>
      <c r="D816" s="355" t="s">
        <v>1635</v>
      </c>
      <c r="E816" s="67">
        <v>217894</v>
      </c>
      <c r="F816" s="353"/>
      <c r="G816" s="67"/>
      <c r="H816" s="67"/>
      <c r="I816" s="67"/>
      <c r="J816" s="67" t="s">
        <v>793</v>
      </c>
      <c r="K816" s="457" t="s">
        <v>793</v>
      </c>
      <c r="L816" s="457" t="s">
        <v>793</v>
      </c>
      <c r="M816" s="67" t="s">
        <v>293</v>
      </c>
      <c r="N816" s="67">
        <v>20.822059629999998</v>
      </c>
      <c r="O816" s="67">
        <v>92.41690826</v>
      </c>
      <c r="P816" s="67" t="s">
        <v>794</v>
      </c>
      <c r="Q816" s="67" t="s">
        <v>775</v>
      </c>
      <c r="R816" s="364"/>
      <c r="S816" s="357"/>
      <c r="T816" s="91"/>
      <c r="U816" s="87"/>
      <c r="V816" s="67" t="s">
        <v>620</v>
      </c>
      <c r="W816" s="353"/>
      <c r="X816" s="457"/>
      <c r="Y816" s="457"/>
      <c r="Z816" s="457"/>
    </row>
    <row r="817" spans="1:26" ht="14.25" customHeight="1">
      <c r="A817" s="462" t="s">
        <v>2626</v>
      </c>
      <c r="B817" s="489" t="s">
        <v>304</v>
      </c>
      <c r="C817" s="490" t="s">
        <v>2788</v>
      </c>
      <c r="D817" s="460"/>
      <c r="E817" s="67">
        <v>217895</v>
      </c>
      <c r="F817" s="487" t="s">
        <v>2794</v>
      </c>
      <c r="G817" s="67"/>
      <c r="H817" s="67"/>
      <c r="I817" s="67"/>
      <c r="J817" s="67" t="s">
        <v>793</v>
      </c>
      <c r="K817" s="457" t="s">
        <v>793</v>
      </c>
      <c r="L817" s="457" t="s">
        <v>793</v>
      </c>
      <c r="M817" s="67" t="s">
        <v>293</v>
      </c>
      <c r="N817" s="67">
        <v>20.8013000488281</v>
      </c>
      <c r="O817" s="67">
        <v>92.423202514648395</v>
      </c>
      <c r="P817" s="67" t="s">
        <v>794</v>
      </c>
      <c r="Q817" s="67" t="s">
        <v>775</v>
      </c>
      <c r="R817" s="469"/>
      <c r="S817" s="357"/>
      <c r="T817" s="91"/>
      <c r="U817" s="469"/>
      <c r="V817" s="67" t="s">
        <v>602</v>
      </c>
      <c r="W817" s="461"/>
      <c r="X817" s="457"/>
      <c r="Y817" s="457"/>
      <c r="Z817" s="457"/>
    </row>
    <row r="818" spans="1:26" ht="14.25" customHeight="1">
      <c r="A818" s="353" t="s">
        <v>2626</v>
      </c>
      <c r="B818" s="375" t="s">
        <v>304</v>
      </c>
      <c r="C818" s="374" t="s">
        <v>2050</v>
      </c>
      <c r="D818" s="460" t="s">
        <v>1635</v>
      </c>
      <c r="E818" s="67">
        <v>197890</v>
      </c>
      <c r="F818" s="67"/>
      <c r="G818" s="67"/>
      <c r="H818" s="67"/>
      <c r="I818" s="67"/>
      <c r="J818" s="67" t="s">
        <v>793</v>
      </c>
      <c r="K818" s="459" t="s">
        <v>793</v>
      </c>
      <c r="L818" s="459" t="s">
        <v>793</v>
      </c>
      <c r="M818" s="67" t="s">
        <v>293</v>
      </c>
      <c r="N818" s="67">
        <v>21.016569140000001</v>
      </c>
      <c r="O818" s="67">
        <v>92.307716369999994</v>
      </c>
      <c r="P818" s="67" t="s">
        <v>794</v>
      </c>
      <c r="Q818" s="67" t="s">
        <v>775</v>
      </c>
      <c r="R818" s="356"/>
      <c r="S818" s="357"/>
      <c r="T818" s="91">
        <v>43300</v>
      </c>
      <c r="U818" s="87"/>
      <c r="V818" s="67" t="s">
        <v>673</v>
      </c>
      <c r="W818" s="353"/>
      <c r="X818" s="457"/>
      <c r="Y818" s="457"/>
      <c r="Z818" s="457"/>
    </row>
    <row r="819" spans="1:26" ht="14.25" customHeight="1">
      <c r="A819" s="353" t="s">
        <v>2626</v>
      </c>
      <c r="B819" s="375" t="s">
        <v>304</v>
      </c>
      <c r="C819" s="374" t="s">
        <v>321</v>
      </c>
      <c r="D819" s="402" t="s">
        <v>1635</v>
      </c>
      <c r="E819" s="464"/>
      <c r="F819" s="353"/>
      <c r="G819" s="353"/>
      <c r="H819" s="353"/>
      <c r="I819" s="353"/>
      <c r="J819" s="353" t="s">
        <v>793</v>
      </c>
      <c r="K819" s="459" t="s">
        <v>793</v>
      </c>
      <c r="L819" s="459" t="s">
        <v>793</v>
      </c>
      <c r="M819" s="353" t="s">
        <v>790</v>
      </c>
      <c r="N819" s="353"/>
      <c r="O819" s="457"/>
      <c r="P819" s="353" t="s">
        <v>794</v>
      </c>
      <c r="Q819" s="353" t="s">
        <v>775</v>
      </c>
      <c r="R819" s="356"/>
      <c r="S819" s="357"/>
      <c r="T819" s="376"/>
      <c r="U819" s="358"/>
      <c r="V819" s="353"/>
      <c r="W819" s="353"/>
      <c r="X819" s="457"/>
      <c r="Y819" s="457"/>
      <c r="Z819" s="457"/>
    </row>
    <row r="820" spans="1:26" ht="14.25" customHeight="1">
      <c r="A820" s="353" t="s">
        <v>2626</v>
      </c>
      <c r="B820" s="380" t="s">
        <v>304</v>
      </c>
      <c r="C820" s="381" t="s">
        <v>584</v>
      </c>
      <c r="D820" s="355" t="s">
        <v>1635</v>
      </c>
      <c r="E820" s="67">
        <v>220739</v>
      </c>
      <c r="F820" s="67"/>
      <c r="G820" s="67"/>
      <c r="H820" s="67"/>
      <c r="I820" s="67"/>
      <c r="J820" s="67" t="s">
        <v>793</v>
      </c>
      <c r="K820" s="459" t="s">
        <v>793</v>
      </c>
      <c r="L820" s="459" t="s">
        <v>793</v>
      </c>
      <c r="M820" s="67" t="s">
        <v>293</v>
      </c>
      <c r="N820" s="67">
        <v>20.76523972</v>
      </c>
      <c r="O820" s="67">
        <v>92.422332760000003</v>
      </c>
      <c r="P820" s="67" t="s">
        <v>794</v>
      </c>
      <c r="Q820" s="67" t="s">
        <v>775</v>
      </c>
      <c r="R820" s="364"/>
      <c r="S820" s="357"/>
      <c r="T820" s="91"/>
      <c r="U820" s="87"/>
      <c r="V820" s="67" t="s">
        <v>929</v>
      </c>
      <c r="W820" s="353"/>
      <c r="X820" s="457"/>
      <c r="Y820" s="457"/>
      <c r="Z820" s="457"/>
    </row>
    <row r="821" spans="1:26" ht="14.25" customHeight="1">
      <c r="A821" s="353" t="s">
        <v>2626</v>
      </c>
      <c r="B821" s="375" t="s">
        <v>304</v>
      </c>
      <c r="C821" s="374" t="s">
        <v>559</v>
      </c>
      <c r="D821" s="402" t="s">
        <v>1635</v>
      </c>
      <c r="E821" s="353">
        <v>220744</v>
      </c>
      <c r="F821" s="457"/>
      <c r="G821" s="353"/>
      <c r="H821" s="353"/>
      <c r="I821" s="353"/>
      <c r="J821" s="353" t="s">
        <v>793</v>
      </c>
      <c r="K821" s="459" t="s">
        <v>793</v>
      </c>
      <c r="L821" s="459" t="s">
        <v>793</v>
      </c>
      <c r="M821" s="353" t="s">
        <v>293</v>
      </c>
      <c r="N821" s="353">
        <v>20.71612167</v>
      </c>
      <c r="O821" s="353">
        <v>92.442459110000001</v>
      </c>
      <c r="P821" s="67" t="s">
        <v>794</v>
      </c>
      <c r="Q821" s="353" t="s">
        <v>775</v>
      </c>
      <c r="R821" s="356"/>
      <c r="S821" s="357"/>
      <c r="T821" s="376"/>
      <c r="U821" s="358"/>
      <c r="V821" s="353" t="s">
        <v>925</v>
      </c>
      <c r="W821" s="353"/>
      <c r="X821" s="457"/>
      <c r="Y821" s="457"/>
      <c r="Z821" s="457"/>
    </row>
    <row r="822" spans="1:26" ht="14.25" customHeight="1">
      <c r="A822" s="353" t="s">
        <v>2626</v>
      </c>
      <c r="B822" s="380" t="s">
        <v>304</v>
      </c>
      <c r="C822" s="381" t="s">
        <v>525</v>
      </c>
      <c r="D822" s="355" t="s">
        <v>1635</v>
      </c>
      <c r="E822" s="353">
        <v>198024</v>
      </c>
      <c r="F822" s="457"/>
      <c r="G822" s="67"/>
      <c r="H822" s="353"/>
      <c r="I822" s="353"/>
      <c r="J822" s="353" t="s">
        <v>793</v>
      </c>
      <c r="K822" s="459" t="s">
        <v>793</v>
      </c>
      <c r="L822" s="459" t="s">
        <v>793</v>
      </c>
      <c r="M822" s="353" t="s">
        <v>790</v>
      </c>
      <c r="N822" s="353">
        <v>20.669300079999999</v>
      </c>
      <c r="O822" s="457">
        <v>92.46575928</v>
      </c>
      <c r="P822" s="67" t="s">
        <v>794</v>
      </c>
      <c r="Q822" s="353" t="s">
        <v>775</v>
      </c>
      <c r="R822" s="364"/>
      <c r="S822" s="357"/>
      <c r="T822" s="376">
        <v>42745</v>
      </c>
      <c r="U822" s="358"/>
      <c r="V822" s="67" t="s">
        <v>919</v>
      </c>
      <c r="W822" s="353"/>
      <c r="X822" s="457"/>
      <c r="Y822" s="457"/>
      <c r="Z822" s="457"/>
    </row>
    <row r="823" spans="1:26" ht="14.25" customHeight="1">
      <c r="A823" s="353" t="s">
        <v>2626</v>
      </c>
      <c r="B823" s="479" t="s">
        <v>304</v>
      </c>
      <c r="C823" s="478" t="s">
        <v>679</v>
      </c>
      <c r="D823" s="402" t="s">
        <v>1635</v>
      </c>
      <c r="E823" s="67">
        <v>197887</v>
      </c>
      <c r="F823" s="457"/>
      <c r="G823" s="67"/>
      <c r="H823" s="67"/>
      <c r="I823" s="67"/>
      <c r="J823" s="67" t="s">
        <v>793</v>
      </c>
      <c r="K823" s="459" t="s">
        <v>793</v>
      </c>
      <c r="L823" s="459" t="s">
        <v>793</v>
      </c>
      <c r="M823" s="67" t="s">
        <v>790</v>
      </c>
      <c r="N823" s="67">
        <v>21.04866028</v>
      </c>
      <c r="O823" s="67">
        <v>92.293350219999994</v>
      </c>
      <c r="P823" s="67" t="s">
        <v>794</v>
      </c>
      <c r="Q823" s="67" t="s">
        <v>775</v>
      </c>
      <c r="R823" s="461"/>
      <c r="S823" s="357"/>
      <c r="T823" s="91"/>
      <c r="U823" s="87"/>
      <c r="V823" s="67" t="s">
        <v>679</v>
      </c>
      <c r="W823" s="353"/>
      <c r="X823" s="457"/>
      <c r="Y823" s="457"/>
      <c r="Z823" s="457"/>
    </row>
    <row r="824" spans="1:26" ht="14.25" customHeight="1">
      <c r="A824" s="353" t="s">
        <v>2626</v>
      </c>
      <c r="B824" s="375" t="s">
        <v>304</v>
      </c>
      <c r="C824" s="374" t="s">
        <v>2041</v>
      </c>
      <c r="D824" s="402"/>
      <c r="E824" s="67">
        <v>198094</v>
      </c>
      <c r="F824" s="457"/>
      <c r="G824" s="67"/>
      <c r="H824" s="67"/>
      <c r="I824" s="67"/>
      <c r="J824" s="67" t="s">
        <v>793</v>
      </c>
      <c r="K824" s="457" t="s">
        <v>793</v>
      </c>
      <c r="L824" s="457" t="s">
        <v>793</v>
      </c>
      <c r="M824" s="67" t="s">
        <v>293</v>
      </c>
      <c r="N824" s="67">
        <v>21.157270430000001</v>
      </c>
      <c r="O824" s="67">
        <v>92.209739690000006</v>
      </c>
      <c r="P824" s="67"/>
      <c r="Q824" s="67"/>
      <c r="R824" s="356"/>
      <c r="S824" s="357"/>
      <c r="T824" s="91">
        <v>43300</v>
      </c>
      <c r="U824" s="87"/>
      <c r="V824" s="67"/>
      <c r="W824" s="353"/>
      <c r="X824" s="457"/>
      <c r="Y824" s="457"/>
      <c r="Z824" s="457"/>
    </row>
    <row r="825" spans="1:26" ht="14.25" customHeight="1">
      <c r="A825" s="353" t="s">
        <v>2626</v>
      </c>
      <c r="B825" s="375" t="s">
        <v>304</v>
      </c>
      <c r="C825" s="374" t="s">
        <v>2028</v>
      </c>
      <c r="D825" s="402"/>
      <c r="E825" s="459">
        <v>197950</v>
      </c>
      <c r="F825" s="67"/>
      <c r="G825" s="67"/>
      <c r="H825" s="353"/>
      <c r="I825" s="353"/>
      <c r="J825" s="353" t="s">
        <v>793</v>
      </c>
      <c r="K825" s="457" t="s">
        <v>793</v>
      </c>
      <c r="L825" s="457" t="s">
        <v>793</v>
      </c>
      <c r="M825" s="353" t="s">
        <v>790</v>
      </c>
      <c r="N825" s="353">
        <v>20.914119719999999</v>
      </c>
      <c r="O825" s="459">
        <v>92.3506012</v>
      </c>
      <c r="P825" s="67"/>
      <c r="Q825" s="353"/>
      <c r="R825" s="356"/>
      <c r="S825" s="357"/>
      <c r="T825" s="376">
        <v>43300</v>
      </c>
      <c r="U825" s="358"/>
      <c r="V825" s="67"/>
      <c r="W825" s="353"/>
      <c r="X825" s="457"/>
      <c r="Y825" s="457"/>
      <c r="Z825" s="457"/>
    </row>
    <row r="826" spans="1:26" ht="14.25" customHeight="1">
      <c r="A826" s="353" t="s">
        <v>2626</v>
      </c>
      <c r="B826" s="489" t="s">
        <v>304</v>
      </c>
      <c r="C826" s="490" t="s">
        <v>2057</v>
      </c>
      <c r="D826" s="460"/>
      <c r="E826" s="67">
        <v>198075</v>
      </c>
      <c r="F826" s="67"/>
      <c r="G826" s="67"/>
      <c r="H826" s="67"/>
      <c r="I826" s="67"/>
      <c r="J826" s="67" t="s">
        <v>793</v>
      </c>
      <c r="K826" s="457" t="s">
        <v>793</v>
      </c>
      <c r="L826" s="457" t="s">
        <v>793</v>
      </c>
      <c r="M826" s="67" t="s">
        <v>293</v>
      </c>
      <c r="N826" s="67">
        <v>20.543220519999998</v>
      </c>
      <c r="O826" s="67">
        <v>92.544296259999996</v>
      </c>
      <c r="P826" s="67"/>
      <c r="Q826" s="67"/>
      <c r="R826" s="469"/>
      <c r="S826" s="357"/>
      <c r="T826" s="91">
        <v>43300</v>
      </c>
      <c r="U826" s="87"/>
      <c r="V826" s="67"/>
      <c r="W826" s="353"/>
      <c r="X826" s="457"/>
      <c r="Y826" s="457"/>
      <c r="Z826" s="457"/>
    </row>
    <row r="827" spans="1:26" ht="14.25" customHeight="1">
      <c r="A827" s="353" t="s">
        <v>2626</v>
      </c>
      <c r="B827" s="479" t="s">
        <v>304</v>
      </c>
      <c r="C827" s="478" t="s">
        <v>491</v>
      </c>
      <c r="D827" s="402" t="s">
        <v>1635</v>
      </c>
      <c r="E827" s="67">
        <v>198075</v>
      </c>
      <c r="F827" s="459"/>
      <c r="G827" s="67"/>
      <c r="H827" s="67"/>
      <c r="I827" s="67"/>
      <c r="J827" s="67" t="s">
        <v>793</v>
      </c>
      <c r="K827" s="457" t="s">
        <v>793</v>
      </c>
      <c r="L827" s="457" t="s">
        <v>793</v>
      </c>
      <c r="M827" s="67" t="s">
        <v>293</v>
      </c>
      <c r="N827" s="67">
        <v>20.543220519999998</v>
      </c>
      <c r="O827" s="67">
        <v>92.544296259999996</v>
      </c>
      <c r="P827" s="67" t="s">
        <v>794</v>
      </c>
      <c r="Q827" s="67" t="s">
        <v>775</v>
      </c>
      <c r="R827" s="461"/>
      <c r="S827" s="357"/>
      <c r="T827" s="91"/>
      <c r="U827" s="87"/>
      <c r="V827" s="67" t="s">
        <v>491</v>
      </c>
      <c r="W827" s="353"/>
      <c r="X827" s="457"/>
      <c r="Y827" s="457"/>
      <c r="Z827" s="457"/>
    </row>
    <row r="828" spans="1:26" ht="14.25" customHeight="1">
      <c r="A828" s="353" t="s">
        <v>2626</v>
      </c>
      <c r="B828" s="489" t="s">
        <v>304</v>
      </c>
      <c r="C828" s="490" t="s">
        <v>515</v>
      </c>
      <c r="D828" s="460" t="s">
        <v>1635</v>
      </c>
      <c r="E828" s="353">
        <v>198058</v>
      </c>
      <c r="F828" s="459"/>
      <c r="G828" s="67"/>
      <c r="H828" s="67"/>
      <c r="I828" s="67"/>
      <c r="J828" s="67" t="s">
        <v>793</v>
      </c>
      <c r="K828" s="67" t="s">
        <v>793</v>
      </c>
      <c r="L828" s="353" t="s">
        <v>793</v>
      </c>
      <c r="M828" s="67" t="s">
        <v>790</v>
      </c>
      <c r="N828" s="67">
        <v>20.64685059</v>
      </c>
      <c r="O828" s="459">
        <v>92.493553160000005</v>
      </c>
      <c r="P828" s="67" t="s">
        <v>794</v>
      </c>
      <c r="Q828" s="67" t="s">
        <v>775</v>
      </c>
      <c r="R828" s="469"/>
      <c r="S828" s="357"/>
      <c r="T828" s="91"/>
      <c r="U828" s="87"/>
      <c r="V828" s="67" t="s">
        <v>515</v>
      </c>
      <c r="W828" s="353"/>
      <c r="X828" s="457"/>
      <c r="Y828" s="457"/>
      <c r="Z828" s="457"/>
    </row>
    <row r="829" spans="1:26" ht="14.25" customHeight="1">
      <c r="A829" s="353" t="s">
        <v>2626</v>
      </c>
      <c r="B829" s="380" t="s">
        <v>304</v>
      </c>
      <c r="C829" s="381" t="s">
        <v>2020</v>
      </c>
      <c r="D829" s="355"/>
      <c r="E829" s="67">
        <v>197943</v>
      </c>
      <c r="F829" s="459"/>
      <c r="G829" s="67"/>
      <c r="H829" s="67"/>
      <c r="I829" s="67"/>
      <c r="J829" s="67" t="s">
        <v>793</v>
      </c>
      <c r="K829" s="67" t="s">
        <v>793</v>
      </c>
      <c r="L829" s="67" t="s">
        <v>793</v>
      </c>
      <c r="M829" s="67" t="s">
        <v>790</v>
      </c>
      <c r="N829" s="67">
        <v>20.895000459999999</v>
      </c>
      <c r="O829" s="67">
        <v>92.398574830000001</v>
      </c>
      <c r="P829" s="67"/>
      <c r="Q829" s="67"/>
      <c r="R829" s="364"/>
      <c r="S829" s="357"/>
      <c r="T829" s="91">
        <v>43300</v>
      </c>
      <c r="U829" s="87"/>
      <c r="V829" s="67"/>
      <c r="W829" s="353"/>
      <c r="X829" s="457"/>
      <c r="Y829" s="457"/>
      <c r="Z829" s="457"/>
    </row>
    <row r="830" spans="1:26" ht="14.25" customHeight="1">
      <c r="A830" s="353" t="s">
        <v>2626</v>
      </c>
      <c r="B830" s="479" t="s">
        <v>304</v>
      </c>
      <c r="C830" s="478" t="s">
        <v>2019</v>
      </c>
      <c r="D830" s="402"/>
      <c r="E830" s="67">
        <v>197943</v>
      </c>
      <c r="F830" s="459"/>
      <c r="G830" s="67"/>
      <c r="H830" s="67"/>
      <c r="I830" s="67"/>
      <c r="J830" s="67" t="s">
        <v>793</v>
      </c>
      <c r="K830" s="459" t="s">
        <v>793</v>
      </c>
      <c r="L830" s="459" t="s">
        <v>793</v>
      </c>
      <c r="M830" s="67" t="s">
        <v>790</v>
      </c>
      <c r="N830" s="67">
        <v>20.895000459999999</v>
      </c>
      <c r="O830" s="67">
        <v>92.398574830000001</v>
      </c>
      <c r="P830" s="67"/>
      <c r="Q830" s="67"/>
      <c r="R830" s="461"/>
      <c r="S830" s="357"/>
      <c r="T830" s="91">
        <v>43300</v>
      </c>
      <c r="U830" s="87"/>
      <c r="V830" s="67"/>
      <c r="W830" s="353"/>
      <c r="X830" s="457"/>
      <c r="Y830" s="457"/>
      <c r="Z830" s="457"/>
    </row>
    <row r="831" spans="1:26" ht="14.25" customHeight="1">
      <c r="A831" s="353" t="s">
        <v>2626</v>
      </c>
      <c r="B831" s="479" t="s">
        <v>304</v>
      </c>
      <c r="C831" s="374" t="s">
        <v>1988</v>
      </c>
      <c r="D831" s="402"/>
      <c r="E831" s="353">
        <v>197878</v>
      </c>
      <c r="F831" s="353" t="s">
        <v>1987</v>
      </c>
      <c r="G831" s="353"/>
      <c r="H831" s="353"/>
      <c r="I831" s="353"/>
      <c r="J831" s="353" t="s">
        <v>793</v>
      </c>
      <c r="K831" s="459" t="s">
        <v>793</v>
      </c>
      <c r="L831" s="459" t="s">
        <v>793</v>
      </c>
      <c r="M831" s="353" t="s">
        <v>790</v>
      </c>
      <c r="N831" s="353">
        <v>21.012830730000001</v>
      </c>
      <c r="O831" s="353">
        <v>92.338958739999995</v>
      </c>
      <c r="P831" s="353"/>
      <c r="Q831" s="457"/>
      <c r="R831" s="461"/>
      <c r="S831" s="357"/>
      <c r="T831" s="481">
        <v>43300</v>
      </c>
      <c r="U831" s="358"/>
      <c r="V831" s="353"/>
      <c r="W831" s="353"/>
      <c r="X831" s="457"/>
      <c r="Y831" s="457"/>
      <c r="Z831" s="457"/>
    </row>
    <row r="832" spans="1:26" ht="14.25" customHeight="1">
      <c r="A832" s="353" t="s">
        <v>2626</v>
      </c>
      <c r="B832" s="479" t="s">
        <v>304</v>
      </c>
      <c r="C832" s="478" t="s">
        <v>675</v>
      </c>
      <c r="D832" s="402" t="s">
        <v>1635</v>
      </c>
      <c r="E832" s="67">
        <v>197880</v>
      </c>
      <c r="F832" s="67"/>
      <c r="G832" s="67"/>
      <c r="H832" s="67"/>
      <c r="I832" s="67"/>
      <c r="J832" s="67" t="s">
        <v>793</v>
      </c>
      <c r="K832" s="459" t="s">
        <v>793</v>
      </c>
      <c r="L832" s="459" t="s">
        <v>793</v>
      </c>
      <c r="M832" s="67" t="s">
        <v>790</v>
      </c>
      <c r="N832" s="67">
        <v>21.021259310000001</v>
      </c>
      <c r="O832" s="457">
        <v>92.339538570000002</v>
      </c>
      <c r="P832" s="67" t="s">
        <v>794</v>
      </c>
      <c r="Q832" s="67" t="s">
        <v>775</v>
      </c>
      <c r="R832" s="461"/>
      <c r="S832" s="357"/>
      <c r="T832" s="91"/>
      <c r="U832" s="87"/>
      <c r="V832" s="67" t="s">
        <v>675</v>
      </c>
      <c r="W832" s="353"/>
      <c r="X832" s="457"/>
      <c r="Y832" s="457"/>
      <c r="Z832" s="457"/>
    </row>
    <row r="833" spans="1:26" ht="14.25" customHeight="1">
      <c r="A833" s="353" t="s">
        <v>2626</v>
      </c>
      <c r="B833" s="489" t="s">
        <v>304</v>
      </c>
      <c r="C833" s="490" t="s">
        <v>2024</v>
      </c>
      <c r="D833" s="460"/>
      <c r="E833" s="67"/>
      <c r="F833" s="353"/>
      <c r="G833" s="67"/>
      <c r="H833" s="67"/>
      <c r="I833" s="67"/>
      <c r="J833" s="67" t="s">
        <v>793</v>
      </c>
      <c r="K833" s="459" t="s">
        <v>793</v>
      </c>
      <c r="L833" s="459" t="s">
        <v>793</v>
      </c>
      <c r="M833" s="67" t="s">
        <v>790</v>
      </c>
      <c r="N833" s="67"/>
      <c r="O833" s="67"/>
      <c r="P833" s="353"/>
      <c r="Q833" s="67"/>
      <c r="R833" s="469"/>
      <c r="S833" s="86"/>
      <c r="T833" s="91">
        <v>43300</v>
      </c>
      <c r="U833" s="87"/>
      <c r="V833" s="67"/>
      <c r="W833" s="353"/>
      <c r="X833" s="457"/>
      <c r="Y833" s="457"/>
      <c r="Z833" s="457"/>
    </row>
    <row r="834" spans="1:26" ht="14.25" customHeight="1">
      <c r="A834" s="353" t="s">
        <v>2626</v>
      </c>
      <c r="B834" s="375" t="s">
        <v>304</v>
      </c>
      <c r="C834" s="374" t="s">
        <v>563</v>
      </c>
      <c r="D834" s="402" t="s">
        <v>1635</v>
      </c>
      <c r="E834" s="353">
        <v>198048</v>
      </c>
      <c r="F834" s="457"/>
      <c r="G834" s="353"/>
      <c r="H834" s="353"/>
      <c r="I834" s="353"/>
      <c r="J834" s="353" t="s">
        <v>793</v>
      </c>
      <c r="K834" s="353" t="s">
        <v>793</v>
      </c>
      <c r="L834" s="353" t="s">
        <v>793</v>
      </c>
      <c r="M834" s="353" t="s">
        <v>790</v>
      </c>
      <c r="N834" s="353">
        <v>20.720079420000001</v>
      </c>
      <c r="O834" s="353">
        <v>92.423591610000003</v>
      </c>
      <c r="P834" s="67" t="s">
        <v>794</v>
      </c>
      <c r="Q834" s="353" t="s">
        <v>775</v>
      </c>
      <c r="R834" s="356"/>
      <c r="S834" s="357"/>
      <c r="T834" s="376"/>
      <c r="U834" s="358"/>
      <c r="V834" s="353" t="s">
        <v>563</v>
      </c>
      <c r="W834" s="353"/>
      <c r="X834" s="457"/>
      <c r="Y834" s="457"/>
      <c r="Z834" s="457"/>
    </row>
    <row r="835" spans="1:26" ht="14.25" customHeight="1">
      <c r="A835" s="353" t="s">
        <v>2626</v>
      </c>
      <c r="B835" s="380" t="s">
        <v>304</v>
      </c>
      <c r="C835" s="381" t="s">
        <v>2080</v>
      </c>
      <c r="D835" s="355"/>
      <c r="E835" s="353">
        <v>220728</v>
      </c>
      <c r="F835" s="457"/>
      <c r="G835" s="353"/>
      <c r="H835" s="353"/>
      <c r="I835" s="353"/>
      <c r="J835" s="353" t="s">
        <v>793</v>
      </c>
      <c r="K835" s="353" t="s">
        <v>793</v>
      </c>
      <c r="L835" s="353" t="s">
        <v>793</v>
      </c>
      <c r="M835" s="353" t="s">
        <v>2058</v>
      </c>
      <c r="N835" s="353">
        <v>21.090957639999999</v>
      </c>
      <c r="O835" s="353">
        <v>92.361534120000002</v>
      </c>
      <c r="P835" s="67"/>
      <c r="Q835" s="353"/>
      <c r="R835" s="364"/>
      <c r="S835" s="357"/>
      <c r="T835" s="376">
        <v>43300</v>
      </c>
      <c r="U835" s="358"/>
      <c r="V835" s="353"/>
      <c r="W835" s="353"/>
      <c r="X835" s="457"/>
      <c r="Y835" s="457"/>
      <c r="Z835" s="457"/>
    </row>
    <row r="836" spans="1:26" ht="14.25" customHeight="1">
      <c r="A836" s="353" t="s">
        <v>2626</v>
      </c>
      <c r="B836" s="489" t="s">
        <v>304</v>
      </c>
      <c r="C836" s="490" t="s">
        <v>680</v>
      </c>
      <c r="D836" s="460" t="s">
        <v>1635</v>
      </c>
      <c r="E836" s="67">
        <v>197883</v>
      </c>
      <c r="F836" s="353"/>
      <c r="G836" s="67"/>
      <c r="H836" s="67"/>
      <c r="I836" s="67"/>
      <c r="J836" s="67" t="s">
        <v>793</v>
      </c>
      <c r="K836" s="67" t="s">
        <v>793</v>
      </c>
      <c r="L836" s="67" t="s">
        <v>793</v>
      </c>
      <c r="M836" s="67" t="s">
        <v>790</v>
      </c>
      <c r="N836" s="67">
        <v>21.05369949</v>
      </c>
      <c r="O836" s="67">
        <v>92.324119569999993</v>
      </c>
      <c r="P836" s="67" t="s">
        <v>794</v>
      </c>
      <c r="Q836" s="67" t="s">
        <v>775</v>
      </c>
      <c r="R836" s="469"/>
      <c r="S836" s="357"/>
      <c r="T836" s="91"/>
      <c r="U836" s="87"/>
      <c r="V836" s="67" t="s">
        <v>951</v>
      </c>
      <c r="W836" s="353"/>
      <c r="X836" s="457"/>
      <c r="Y836" s="457"/>
      <c r="Z836" s="457"/>
    </row>
    <row r="837" spans="1:26" ht="14.25" customHeight="1">
      <c r="A837" s="353" t="s">
        <v>2626</v>
      </c>
      <c r="B837" s="489" t="s">
        <v>304</v>
      </c>
      <c r="C837" s="374" t="s">
        <v>674</v>
      </c>
      <c r="D837" s="460" t="s">
        <v>1635</v>
      </c>
      <c r="E837" s="67">
        <v>197879</v>
      </c>
      <c r="F837" s="67"/>
      <c r="G837" s="67"/>
      <c r="H837" s="67"/>
      <c r="I837" s="67"/>
      <c r="J837" s="67" t="s">
        <v>793</v>
      </c>
      <c r="K837" s="67" t="s">
        <v>793</v>
      </c>
      <c r="L837" s="67" t="s">
        <v>793</v>
      </c>
      <c r="M837" s="67" t="s">
        <v>790</v>
      </c>
      <c r="N837" s="67">
        <v>21.0184803</v>
      </c>
      <c r="O837" s="67">
        <v>92.333999629999994</v>
      </c>
      <c r="P837" s="67" t="s">
        <v>794</v>
      </c>
      <c r="Q837" s="459" t="s">
        <v>775</v>
      </c>
      <c r="R837" s="469"/>
      <c r="S837" s="86"/>
      <c r="T837" s="482"/>
      <c r="U837" s="87"/>
      <c r="V837" s="67" t="s">
        <v>674</v>
      </c>
      <c r="W837" s="353"/>
      <c r="X837" s="457"/>
      <c r="Y837" s="457"/>
      <c r="Z837" s="457"/>
    </row>
    <row r="838" spans="1:26" ht="14.25" customHeight="1">
      <c r="A838" s="353" t="s">
        <v>2626</v>
      </c>
      <c r="B838" s="489" t="s">
        <v>304</v>
      </c>
      <c r="C838" s="490" t="s">
        <v>322</v>
      </c>
      <c r="D838" s="460" t="s">
        <v>1635</v>
      </c>
      <c r="E838" s="67"/>
      <c r="F838" s="67"/>
      <c r="G838" s="67"/>
      <c r="H838" s="67"/>
      <c r="I838" s="67"/>
      <c r="J838" s="67" t="s">
        <v>793</v>
      </c>
      <c r="K838" s="67" t="s">
        <v>793</v>
      </c>
      <c r="L838" s="67" t="s">
        <v>793</v>
      </c>
      <c r="M838" s="67" t="s">
        <v>293</v>
      </c>
      <c r="N838" s="353"/>
      <c r="O838" s="459"/>
      <c r="P838" s="67" t="s">
        <v>794</v>
      </c>
      <c r="Q838" s="67" t="s">
        <v>775</v>
      </c>
      <c r="R838" s="469"/>
      <c r="S838" s="86"/>
      <c r="T838" s="91"/>
      <c r="U838" s="87"/>
      <c r="V838" s="67" t="s">
        <v>322</v>
      </c>
      <c r="W838" s="353"/>
      <c r="X838" s="457"/>
      <c r="Y838" s="457"/>
      <c r="Z838" s="457"/>
    </row>
    <row r="839" spans="1:26" ht="14.25" customHeight="1">
      <c r="A839" s="353" t="s">
        <v>2626</v>
      </c>
      <c r="B839" s="375" t="s">
        <v>304</v>
      </c>
      <c r="C839" s="374" t="s">
        <v>596</v>
      </c>
      <c r="D839" s="402"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6"/>
      <c r="S839" s="86"/>
      <c r="T839" s="91"/>
      <c r="U839" s="87"/>
      <c r="V839" s="67" t="s">
        <v>596</v>
      </c>
      <c r="W839" s="353"/>
      <c r="X839" s="457"/>
      <c r="Y839" s="457"/>
      <c r="Z839" s="457"/>
    </row>
    <row r="840" spans="1:26" ht="14.25" customHeight="1">
      <c r="A840" s="353" t="s">
        <v>2626</v>
      </c>
      <c r="B840" s="375" t="s">
        <v>304</v>
      </c>
      <c r="C840" s="374" t="s">
        <v>2032</v>
      </c>
      <c r="D840" s="402"/>
      <c r="E840" s="67">
        <v>197987</v>
      </c>
      <c r="F840" s="459"/>
      <c r="G840" s="67"/>
      <c r="H840" s="67"/>
      <c r="I840" s="67"/>
      <c r="J840" s="67" t="s">
        <v>793</v>
      </c>
      <c r="K840" s="67" t="s">
        <v>793</v>
      </c>
      <c r="L840" s="67" t="s">
        <v>793</v>
      </c>
      <c r="M840" s="67" t="s">
        <v>790</v>
      </c>
      <c r="N840" s="67">
        <v>20.81588936</v>
      </c>
      <c r="O840" s="67">
        <v>92.372566219999996</v>
      </c>
      <c r="P840" s="67"/>
      <c r="Q840" s="67"/>
      <c r="R840" s="356"/>
      <c r="S840" s="86"/>
      <c r="T840" s="91">
        <v>43300</v>
      </c>
      <c r="U840" s="87"/>
      <c r="V840" s="67"/>
      <c r="W840" s="353"/>
      <c r="X840" s="457"/>
      <c r="Y840" s="457"/>
      <c r="Z840" s="457"/>
    </row>
    <row r="841" spans="1:26" ht="14.25" customHeight="1">
      <c r="A841" s="353" t="s">
        <v>2626</v>
      </c>
      <c r="B841" s="380" t="s">
        <v>304</v>
      </c>
      <c r="C841" s="381" t="s">
        <v>2074</v>
      </c>
      <c r="D841" s="355"/>
      <c r="E841" s="67">
        <v>198089</v>
      </c>
      <c r="F841" s="459"/>
      <c r="G841" s="67"/>
      <c r="H841" s="67"/>
      <c r="I841" s="67"/>
      <c r="J841" s="67" t="s">
        <v>793</v>
      </c>
      <c r="K841" s="67" t="s">
        <v>793</v>
      </c>
      <c r="L841" s="67" t="s">
        <v>793</v>
      </c>
      <c r="M841" s="67" t="s">
        <v>2061</v>
      </c>
      <c r="N841" s="67">
        <v>21.19529915</v>
      </c>
      <c r="O841" s="67">
        <v>92.221542360000001</v>
      </c>
      <c r="P841" s="67"/>
      <c r="Q841" s="67"/>
      <c r="R841" s="364"/>
      <c r="S841" s="357"/>
      <c r="T841" s="91">
        <v>43300</v>
      </c>
      <c r="U841" s="87"/>
      <c r="V841" s="457"/>
      <c r="W841" s="353"/>
      <c r="X841" s="457"/>
      <c r="Y841" s="457"/>
      <c r="Z841" s="457"/>
    </row>
    <row r="842" spans="1:26" ht="14.25" customHeight="1">
      <c r="A842" s="353" t="s">
        <v>2626</v>
      </c>
      <c r="B842" s="375" t="s">
        <v>304</v>
      </c>
      <c r="C842" s="374" t="s">
        <v>2054</v>
      </c>
      <c r="D842" s="402"/>
      <c r="E842" s="67">
        <v>197922</v>
      </c>
      <c r="F842" s="67"/>
      <c r="G842" s="67"/>
      <c r="H842" s="67"/>
      <c r="I842" s="67"/>
      <c r="J842" s="67" t="s">
        <v>793</v>
      </c>
      <c r="K842" s="67" t="s">
        <v>793</v>
      </c>
      <c r="L842" s="67" t="s">
        <v>793</v>
      </c>
      <c r="M842" s="67" t="s">
        <v>790</v>
      </c>
      <c r="N842" s="67">
        <v>20.93643951</v>
      </c>
      <c r="O842" s="67">
        <v>92.314498900000004</v>
      </c>
      <c r="P842" s="67"/>
      <c r="Q842" s="67"/>
      <c r="R842" s="356"/>
      <c r="S842" s="357"/>
      <c r="T842" s="91">
        <v>43300</v>
      </c>
      <c r="U842" s="87"/>
      <c r="V842" s="457"/>
      <c r="W842" s="353"/>
      <c r="X842" s="457"/>
      <c r="Y842" s="457"/>
      <c r="Z842" s="457"/>
    </row>
    <row r="843" spans="1:26" ht="14.25" customHeight="1">
      <c r="A843" s="353" t="s">
        <v>2626</v>
      </c>
      <c r="B843" s="479" t="s">
        <v>304</v>
      </c>
      <c r="C843" s="478" t="s">
        <v>1880</v>
      </c>
      <c r="D843" s="402"/>
      <c r="E843" s="67">
        <v>197961</v>
      </c>
      <c r="F843" s="67"/>
      <c r="G843" s="67"/>
      <c r="H843" s="67"/>
      <c r="I843" s="67"/>
      <c r="J843" s="67" t="s">
        <v>793</v>
      </c>
      <c r="K843" s="67" t="s">
        <v>793</v>
      </c>
      <c r="L843" s="67" t="s">
        <v>793</v>
      </c>
      <c r="M843" s="67" t="s">
        <v>790</v>
      </c>
      <c r="N843" s="353">
        <v>20.903369900000001</v>
      </c>
      <c r="O843" s="353">
        <v>92.332237239999998</v>
      </c>
      <c r="P843" s="67" t="s">
        <v>794</v>
      </c>
      <c r="Q843" s="67" t="s">
        <v>1883</v>
      </c>
      <c r="R843" s="461"/>
      <c r="S843" s="86"/>
      <c r="T843" s="91">
        <v>43245</v>
      </c>
      <c r="U843" s="87"/>
      <c r="V843" s="67"/>
      <c r="W843" s="353"/>
      <c r="X843" s="457"/>
      <c r="Y843" s="457"/>
      <c r="Z843" s="457"/>
    </row>
    <row r="844" spans="1:26" ht="14.25" customHeight="1">
      <c r="A844" s="353" t="s">
        <v>2626</v>
      </c>
      <c r="B844" s="375" t="s">
        <v>304</v>
      </c>
      <c r="C844" s="374" t="s">
        <v>2072</v>
      </c>
      <c r="D844" s="402"/>
      <c r="E844" s="67">
        <v>197847</v>
      </c>
      <c r="F844" s="67"/>
      <c r="G844" s="67"/>
      <c r="H844" s="67"/>
      <c r="I844" s="67"/>
      <c r="J844" s="67" t="s">
        <v>793</v>
      </c>
      <c r="K844" s="67" t="s">
        <v>793</v>
      </c>
      <c r="L844" s="67" t="s">
        <v>793</v>
      </c>
      <c r="M844" s="67" t="s">
        <v>293</v>
      </c>
      <c r="N844" s="353">
        <v>21.134050370000001</v>
      </c>
      <c r="O844" s="353">
        <v>92.323478699999995</v>
      </c>
      <c r="P844" s="67"/>
      <c r="Q844" s="67"/>
      <c r="R844" s="356"/>
      <c r="S844" s="86"/>
      <c r="T844" s="91">
        <v>43300</v>
      </c>
      <c r="U844" s="87"/>
      <c r="V844" s="67"/>
      <c r="W844" s="353"/>
      <c r="X844" s="457"/>
      <c r="Y844" s="457"/>
      <c r="Z844" s="457"/>
    </row>
    <row r="845" spans="1:26" ht="14.25" customHeight="1">
      <c r="A845" s="353" t="s">
        <v>2626</v>
      </c>
      <c r="B845" s="375" t="s">
        <v>304</v>
      </c>
      <c r="C845" s="374" t="s">
        <v>2078</v>
      </c>
      <c r="D845" s="402"/>
      <c r="E845" s="67">
        <v>220706</v>
      </c>
      <c r="F845" s="67"/>
      <c r="G845" s="67"/>
      <c r="H845" s="67"/>
      <c r="I845" s="67"/>
      <c r="J845" s="67" t="s">
        <v>793</v>
      </c>
      <c r="K845" s="67" t="s">
        <v>793</v>
      </c>
      <c r="L845" s="67" t="s">
        <v>793</v>
      </c>
      <c r="M845" s="67" t="s">
        <v>2062</v>
      </c>
      <c r="N845" s="353">
        <v>21.2600956</v>
      </c>
      <c r="O845" s="353">
        <v>92.278442380000001</v>
      </c>
      <c r="P845" s="67"/>
      <c r="Q845" s="67"/>
      <c r="R845" s="356"/>
      <c r="S845" s="86"/>
      <c r="T845" s="91">
        <v>43300</v>
      </c>
      <c r="U845" s="87"/>
      <c r="V845" s="457"/>
      <c r="W845" s="353"/>
      <c r="X845" s="457"/>
      <c r="Y845" s="457"/>
      <c r="Z845" s="457"/>
    </row>
    <row r="846" spans="1:26" ht="14.25" customHeight="1">
      <c r="A846" s="353" t="s">
        <v>2626</v>
      </c>
      <c r="B846" s="375" t="s">
        <v>304</v>
      </c>
      <c r="C846" s="374" t="s">
        <v>2077</v>
      </c>
      <c r="D846" s="402"/>
      <c r="E846" s="67">
        <v>220721</v>
      </c>
      <c r="F846" s="67"/>
      <c r="G846" s="67"/>
      <c r="H846" s="67"/>
      <c r="I846" s="67"/>
      <c r="J846" s="67" t="s">
        <v>793</v>
      </c>
      <c r="K846" s="67" t="s">
        <v>793</v>
      </c>
      <c r="L846" s="67" t="s">
        <v>793</v>
      </c>
      <c r="M846" s="67" t="s">
        <v>293</v>
      </c>
      <c r="N846" s="353">
        <v>21.224542620000001</v>
      </c>
      <c r="O846" s="353">
        <v>92.294197080000004</v>
      </c>
      <c r="P846" s="67"/>
      <c r="Q846" s="67"/>
      <c r="R846" s="356"/>
      <c r="S846" s="86"/>
      <c r="T846" s="91">
        <v>43300</v>
      </c>
      <c r="U846" s="87"/>
      <c r="V846" s="67"/>
      <c r="W846" s="353"/>
      <c r="X846" s="457"/>
      <c r="Y846" s="457"/>
      <c r="Z846" s="457"/>
    </row>
    <row r="847" spans="1:26" ht="14.25" customHeight="1">
      <c r="A847" s="353" t="s">
        <v>2626</v>
      </c>
      <c r="B847" s="380" t="s">
        <v>304</v>
      </c>
      <c r="C847" s="381" t="s">
        <v>327</v>
      </c>
      <c r="D847" s="355" t="s">
        <v>1635</v>
      </c>
      <c r="E847" s="353"/>
      <c r="F847" s="353"/>
      <c r="G847" s="353"/>
      <c r="H847" s="353"/>
      <c r="I847" s="353"/>
      <c r="J847" s="67" t="s">
        <v>793</v>
      </c>
      <c r="K847" s="67" t="s">
        <v>793</v>
      </c>
      <c r="L847" s="353" t="s">
        <v>793</v>
      </c>
      <c r="M847" s="353" t="s">
        <v>790</v>
      </c>
      <c r="N847" s="353"/>
      <c r="O847" s="353"/>
      <c r="P847" s="353" t="s">
        <v>794</v>
      </c>
      <c r="Q847" s="353" t="s">
        <v>775</v>
      </c>
      <c r="R847" s="364"/>
      <c r="S847" s="357"/>
      <c r="T847" s="376"/>
      <c r="U847" s="358"/>
      <c r="V847" s="348" t="s">
        <v>1112</v>
      </c>
      <c r="W847" s="353"/>
      <c r="X847" s="457"/>
      <c r="Y847" s="457"/>
      <c r="Z847" s="457"/>
    </row>
    <row r="848" spans="1:26" ht="14.25" customHeight="1">
      <c r="A848" s="353" t="s">
        <v>2626</v>
      </c>
      <c r="B848" s="479" t="s">
        <v>304</v>
      </c>
      <c r="C848" s="478" t="s">
        <v>328</v>
      </c>
      <c r="D848" s="402" t="s">
        <v>1635</v>
      </c>
      <c r="E848" s="353"/>
      <c r="F848" s="67"/>
      <c r="G848" s="67"/>
      <c r="H848" s="67"/>
      <c r="I848" s="67"/>
      <c r="J848" s="67" t="s">
        <v>793</v>
      </c>
      <c r="K848" s="353" t="s">
        <v>793</v>
      </c>
      <c r="L848" s="353" t="s">
        <v>793</v>
      </c>
      <c r="M848" s="67" t="s">
        <v>790</v>
      </c>
      <c r="N848" s="353"/>
      <c r="O848" s="353"/>
      <c r="P848" s="67" t="s">
        <v>794</v>
      </c>
      <c r="Q848" s="67" t="s">
        <v>775</v>
      </c>
      <c r="R848" s="461"/>
      <c r="S848" s="86"/>
      <c r="T848" s="91"/>
      <c r="U848" s="87"/>
      <c r="V848" s="348" t="s">
        <v>1113</v>
      </c>
      <c r="W848" s="353"/>
      <c r="X848" s="457"/>
      <c r="Y848" s="457"/>
      <c r="Z848" s="457"/>
    </row>
    <row r="849" spans="1:26" ht="14.25" customHeight="1">
      <c r="A849" s="353" t="s">
        <v>2626</v>
      </c>
      <c r="B849" s="380" t="s">
        <v>304</v>
      </c>
      <c r="C849" s="381" t="s">
        <v>2680</v>
      </c>
      <c r="D849" s="355"/>
      <c r="E849" s="67">
        <v>220725</v>
      </c>
      <c r="F849" s="67"/>
      <c r="G849" s="67"/>
      <c r="H849" s="67"/>
      <c r="I849" s="67"/>
      <c r="J849" s="67" t="s">
        <v>793</v>
      </c>
      <c r="K849" s="353" t="s">
        <v>793</v>
      </c>
      <c r="L849" s="353" t="s">
        <v>793</v>
      </c>
      <c r="M849" s="67" t="s">
        <v>678</v>
      </c>
      <c r="N849" s="67">
        <v>21.089906689999999</v>
      </c>
      <c r="O849" s="67">
        <v>92.341598509999997</v>
      </c>
      <c r="P849" s="67"/>
      <c r="Q849" s="67"/>
      <c r="R849" s="364"/>
      <c r="S849" s="357"/>
      <c r="T849" s="91">
        <v>43300</v>
      </c>
      <c r="U849" s="87"/>
      <c r="V849" s="67"/>
      <c r="W849" s="353"/>
      <c r="X849" s="457"/>
      <c r="Y849" s="457"/>
      <c r="Z849" s="457"/>
    </row>
    <row r="850" spans="1:26" ht="14.25" customHeight="1">
      <c r="A850" s="353" t="s">
        <v>2626</v>
      </c>
      <c r="B850" s="479" t="s">
        <v>304</v>
      </c>
      <c r="C850" s="478" t="s">
        <v>2679</v>
      </c>
      <c r="D850" s="402"/>
      <c r="E850" s="353">
        <v>220725</v>
      </c>
      <c r="F850" s="67"/>
      <c r="G850" s="67"/>
      <c r="H850" s="67"/>
      <c r="I850" s="67"/>
      <c r="J850" s="67" t="s">
        <v>793</v>
      </c>
      <c r="K850" s="353" t="s">
        <v>793</v>
      </c>
      <c r="L850" s="353" t="s">
        <v>793</v>
      </c>
      <c r="M850" s="67" t="s">
        <v>293</v>
      </c>
      <c r="N850" s="67">
        <v>21.089906689999999</v>
      </c>
      <c r="O850" s="67">
        <v>92.341598509999997</v>
      </c>
      <c r="P850" s="67"/>
      <c r="Q850" s="67"/>
      <c r="R850" s="461"/>
      <c r="S850" s="86"/>
      <c r="T850" s="91">
        <v>43300</v>
      </c>
      <c r="U850" s="87"/>
      <c r="V850" s="67"/>
      <c r="W850" s="353"/>
      <c r="X850" s="457"/>
      <c r="Y850" s="457"/>
      <c r="Z850" s="457"/>
    </row>
    <row r="851" spans="1:26" ht="14.25" customHeight="1">
      <c r="A851" s="353" t="s">
        <v>2626</v>
      </c>
      <c r="B851" s="479" t="s">
        <v>304</v>
      </c>
      <c r="C851" s="478" t="s">
        <v>329</v>
      </c>
      <c r="D851" s="402" t="s">
        <v>1635</v>
      </c>
      <c r="E851" s="67"/>
      <c r="F851" s="67"/>
      <c r="G851" s="67"/>
      <c r="H851" s="67"/>
      <c r="I851" s="67"/>
      <c r="J851" s="67" t="s">
        <v>793</v>
      </c>
      <c r="K851" s="353" t="s">
        <v>793</v>
      </c>
      <c r="L851" s="353" t="s">
        <v>793</v>
      </c>
      <c r="M851" s="67" t="s">
        <v>293</v>
      </c>
      <c r="N851" s="67"/>
      <c r="O851" s="67"/>
      <c r="P851" s="67" t="s">
        <v>794</v>
      </c>
      <c r="Q851" s="67" t="s">
        <v>775</v>
      </c>
      <c r="R851" s="461"/>
      <c r="S851" s="357"/>
      <c r="T851" s="91"/>
      <c r="U851" s="87"/>
      <c r="V851" s="348" t="s">
        <v>1114</v>
      </c>
      <c r="W851" s="353"/>
      <c r="X851" s="457"/>
      <c r="Y851" s="457"/>
      <c r="Z851" s="457"/>
    </row>
    <row r="852" spans="1:26" ht="14.25" customHeight="1">
      <c r="A852" s="353" t="s">
        <v>2626</v>
      </c>
      <c r="B852" s="479" t="s">
        <v>304</v>
      </c>
      <c r="C852" s="478" t="s">
        <v>2046</v>
      </c>
      <c r="D852" s="402"/>
      <c r="E852" s="67">
        <v>197978</v>
      </c>
      <c r="F852" s="67"/>
      <c r="G852" s="67"/>
      <c r="H852" s="67"/>
      <c r="I852" s="67"/>
      <c r="J852" s="67" t="s">
        <v>793</v>
      </c>
      <c r="K852" s="353" t="s">
        <v>793</v>
      </c>
      <c r="L852" s="67" t="s">
        <v>793</v>
      </c>
      <c r="M852" s="67" t="s">
        <v>790</v>
      </c>
      <c r="N852" s="67">
        <v>20.834230420000001</v>
      </c>
      <c r="O852" s="67">
        <v>92.37967682</v>
      </c>
      <c r="P852" s="67"/>
      <c r="Q852" s="67"/>
      <c r="R852" s="461"/>
      <c r="S852" s="357"/>
      <c r="T852" s="91">
        <v>43300</v>
      </c>
      <c r="U852" s="87"/>
      <c r="V852" s="67"/>
      <c r="W852" s="353"/>
      <c r="X852" s="457"/>
      <c r="Y852" s="457"/>
      <c r="Z852" s="457"/>
    </row>
    <row r="853" spans="1:26" ht="14.25" customHeight="1">
      <c r="A853" s="353" t="s">
        <v>2626</v>
      </c>
      <c r="B853" s="489" t="s">
        <v>304</v>
      </c>
      <c r="C853" s="490" t="s">
        <v>627</v>
      </c>
      <c r="D853" s="460" t="s">
        <v>1635</v>
      </c>
      <c r="E853" s="67" t="s">
        <v>1391</v>
      </c>
      <c r="F853" s="67"/>
      <c r="G853" s="67"/>
      <c r="H853" s="67" t="s">
        <v>41</v>
      </c>
      <c r="I853" s="67"/>
      <c r="J853" s="67" t="s">
        <v>793</v>
      </c>
      <c r="K853" s="353" t="s">
        <v>793</v>
      </c>
      <c r="L853" s="353" t="s">
        <v>1635</v>
      </c>
      <c r="M853" s="67" t="s">
        <v>790</v>
      </c>
      <c r="N853" s="353">
        <v>20.827044000000001</v>
      </c>
      <c r="O853" s="353">
        <v>92.362932999999998</v>
      </c>
      <c r="P853" s="67" t="s">
        <v>756</v>
      </c>
      <c r="Q853" s="67" t="s">
        <v>775</v>
      </c>
      <c r="R853" s="469"/>
      <c r="S853" s="357"/>
      <c r="T853" s="91">
        <v>43248</v>
      </c>
      <c r="U853" s="87" t="s">
        <v>1876</v>
      </c>
      <c r="V853" s="67"/>
      <c r="W853" s="353"/>
      <c r="X853" s="457"/>
      <c r="Y853" s="457"/>
      <c r="Z853" s="457"/>
    </row>
    <row r="854" spans="1:26" ht="14.25" customHeight="1">
      <c r="A854" s="353" t="s">
        <v>2626</v>
      </c>
      <c r="B854" s="489" t="s">
        <v>304</v>
      </c>
      <c r="C854" s="381" t="s">
        <v>330</v>
      </c>
      <c r="D854" s="355" t="s">
        <v>1635</v>
      </c>
      <c r="E854" s="457"/>
      <c r="F854" s="457"/>
      <c r="G854" s="457"/>
      <c r="H854" s="457"/>
      <c r="I854" s="457"/>
      <c r="J854" s="457" t="s">
        <v>793</v>
      </c>
      <c r="K854" s="457" t="s">
        <v>793</v>
      </c>
      <c r="L854" s="457" t="s">
        <v>793</v>
      </c>
      <c r="M854" s="457" t="s">
        <v>790</v>
      </c>
      <c r="N854" s="457"/>
      <c r="O854" s="457"/>
      <c r="P854" s="457" t="s">
        <v>794</v>
      </c>
      <c r="Q854" s="457" t="s">
        <v>775</v>
      </c>
      <c r="R854" s="469"/>
      <c r="S854" s="462"/>
      <c r="T854" s="481"/>
      <c r="U854" s="463"/>
      <c r="V854" s="457" t="s">
        <v>330</v>
      </c>
      <c r="W854" s="353"/>
      <c r="X854" s="457"/>
      <c r="Y854" s="457"/>
      <c r="Z854" s="457"/>
    </row>
    <row r="855" spans="1:26" ht="14.25" customHeight="1">
      <c r="A855" s="353" t="s">
        <v>2626</v>
      </c>
      <c r="B855" s="380" t="s">
        <v>304</v>
      </c>
      <c r="C855" s="381" t="s">
        <v>331</v>
      </c>
      <c r="D855" s="355" t="s">
        <v>1635</v>
      </c>
      <c r="E855" s="353"/>
      <c r="F855" s="353"/>
      <c r="G855" s="353"/>
      <c r="H855" s="353"/>
      <c r="I855" s="353"/>
      <c r="J855" s="353" t="s">
        <v>793</v>
      </c>
      <c r="K855" s="353" t="s">
        <v>793</v>
      </c>
      <c r="L855" s="353" t="s">
        <v>793</v>
      </c>
      <c r="M855" s="353" t="s">
        <v>790</v>
      </c>
      <c r="N855" s="353"/>
      <c r="O855" s="353"/>
      <c r="P855" s="353" t="s">
        <v>794</v>
      </c>
      <c r="Q855" s="353" t="s">
        <v>775</v>
      </c>
      <c r="R855" s="364"/>
      <c r="S855" s="357"/>
      <c r="T855" s="376"/>
      <c r="U855" s="358"/>
      <c r="V855" s="353" t="s">
        <v>331</v>
      </c>
      <c r="W855" s="353"/>
      <c r="X855" s="457"/>
      <c r="Y855" s="457"/>
      <c r="Z855" s="457"/>
    </row>
    <row r="856" spans="1:26" ht="14.25" customHeight="1">
      <c r="A856" s="353" t="s">
        <v>2626</v>
      </c>
      <c r="B856" s="489" t="s">
        <v>304</v>
      </c>
      <c r="C856" s="490" t="s">
        <v>2081</v>
      </c>
      <c r="D856" s="460"/>
      <c r="E856" s="353">
        <v>197894</v>
      </c>
      <c r="F856" s="353"/>
      <c r="G856" s="353"/>
      <c r="H856" s="353"/>
      <c r="I856" s="353"/>
      <c r="J856" s="353" t="s">
        <v>793</v>
      </c>
      <c r="K856" s="353" t="s">
        <v>793</v>
      </c>
      <c r="L856" s="353" t="s">
        <v>793</v>
      </c>
      <c r="M856" s="353" t="s">
        <v>293</v>
      </c>
      <c r="N856" s="353">
        <v>21.025550840000001</v>
      </c>
      <c r="O856" s="353">
        <v>92.29528809</v>
      </c>
      <c r="P856" s="353"/>
      <c r="Q856" s="353"/>
      <c r="R856" s="469"/>
      <c r="S856" s="357"/>
      <c r="T856" s="376">
        <v>43300</v>
      </c>
      <c r="U856" s="358"/>
      <c r="V856" s="353"/>
      <c r="W856" s="353"/>
      <c r="X856" s="457"/>
      <c r="Y856" s="457"/>
      <c r="Z856" s="457"/>
    </row>
    <row r="857" spans="1:26" ht="14.25" customHeight="1">
      <c r="A857" s="353" t="s">
        <v>2626</v>
      </c>
      <c r="B857" s="380" t="s">
        <v>304</v>
      </c>
      <c r="C857" s="381" t="s">
        <v>676</v>
      </c>
      <c r="D857" s="355" t="s">
        <v>1635</v>
      </c>
      <c r="E857" s="353">
        <v>197894</v>
      </c>
      <c r="F857" s="353"/>
      <c r="G857" s="353"/>
      <c r="H857" s="353"/>
      <c r="I857" s="353"/>
      <c r="J857" s="353" t="s">
        <v>793</v>
      </c>
      <c r="K857" s="353" t="s">
        <v>793</v>
      </c>
      <c r="L857" s="353" t="s">
        <v>793</v>
      </c>
      <c r="M857" s="353" t="s">
        <v>790</v>
      </c>
      <c r="N857" s="353">
        <v>21.025550840000001</v>
      </c>
      <c r="O857" s="353">
        <v>92.29528809</v>
      </c>
      <c r="P857" s="353" t="s">
        <v>794</v>
      </c>
      <c r="Q857" s="353" t="s">
        <v>775</v>
      </c>
      <c r="R857" s="364"/>
      <c r="S857" s="357"/>
      <c r="T857" s="376">
        <v>42745</v>
      </c>
      <c r="U857" s="358"/>
      <c r="V857" s="353" t="s">
        <v>950</v>
      </c>
      <c r="W857" s="353"/>
      <c r="X857" s="457"/>
      <c r="Y857" s="457"/>
      <c r="Z857" s="457"/>
    </row>
    <row r="858" spans="1:26" ht="14.25" customHeight="1">
      <c r="A858" s="353" t="s">
        <v>2626</v>
      </c>
      <c r="B858" s="489" t="s">
        <v>304</v>
      </c>
      <c r="C858" s="466" t="s">
        <v>2082</v>
      </c>
      <c r="D858" s="460"/>
      <c r="E858" s="353">
        <v>197895</v>
      </c>
      <c r="F858" s="67"/>
      <c r="G858" s="67"/>
      <c r="H858" s="67"/>
      <c r="I858" s="67"/>
      <c r="J858" s="67" t="s">
        <v>793</v>
      </c>
      <c r="K858" s="353" t="s">
        <v>793</v>
      </c>
      <c r="L858" s="353" t="s">
        <v>793</v>
      </c>
      <c r="M858" s="67" t="s">
        <v>790</v>
      </c>
      <c r="N858" s="67">
        <v>21.019170760000002</v>
      </c>
      <c r="O858" s="353">
        <v>92.291992190000002</v>
      </c>
      <c r="P858" s="67"/>
      <c r="Q858" s="67"/>
      <c r="R858" s="469"/>
      <c r="S858" s="86"/>
      <c r="T858" s="91">
        <v>43300</v>
      </c>
      <c r="U858" s="87"/>
      <c r="V858" s="67"/>
      <c r="W858" s="353"/>
      <c r="X858" s="457"/>
      <c r="Y858" s="457"/>
      <c r="Z858" s="457"/>
    </row>
    <row r="859" spans="1:26" s="67" customFormat="1" ht="14.25" customHeight="1">
      <c r="A859" s="353" t="s">
        <v>2626</v>
      </c>
      <c r="B859" s="479" t="s">
        <v>304</v>
      </c>
      <c r="C859" s="478" t="s">
        <v>2044</v>
      </c>
      <c r="D859" s="402"/>
      <c r="E859" s="67">
        <v>197909</v>
      </c>
      <c r="J859" s="67" t="s">
        <v>793</v>
      </c>
      <c r="K859" s="353" t="s">
        <v>793</v>
      </c>
      <c r="L859" s="353" t="s">
        <v>793</v>
      </c>
      <c r="M859" s="67" t="s">
        <v>790</v>
      </c>
      <c r="N859" s="67">
        <v>21.003770830000001</v>
      </c>
      <c r="O859" s="67">
        <v>92.351142879999998</v>
      </c>
      <c r="R859" s="356"/>
      <c r="S859" s="357"/>
      <c r="T859" s="91">
        <v>43300</v>
      </c>
      <c r="U859" s="87"/>
      <c r="W859" s="353"/>
      <c r="X859" s="457"/>
      <c r="Y859" s="457"/>
      <c r="Z859" s="457"/>
    </row>
    <row r="860" spans="1:26" ht="14.25" customHeight="1">
      <c r="A860" s="353" t="s">
        <v>2626</v>
      </c>
      <c r="B860" s="158" t="s">
        <v>304</v>
      </c>
      <c r="C860" s="381" t="s">
        <v>671</v>
      </c>
      <c r="D860" s="355" t="s">
        <v>1635</v>
      </c>
      <c r="E860" s="504">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3"/>
      <c r="X860" s="457"/>
      <c r="Y860" s="457"/>
      <c r="Z860" s="457"/>
    </row>
    <row r="861" spans="1:26" ht="14.25" customHeight="1">
      <c r="A861" s="353" t="s">
        <v>2626</v>
      </c>
      <c r="B861" s="489" t="s">
        <v>304</v>
      </c>
      <c r="C861" s="490" t="s">
        <v>2043</v>
      </c>
      <c r="D861" s="355"/>
      <c r="E861" s="353">
        <v>197874</v>
      </c>
      <c r="F861" s="353"/>
      <c r="G861" s="67"/>
      <c r="H861" s="457"/>
      <c r="I861" s="67"/>
      <c r="J861" s="67" t="s">
        <v>793</v>
      </c>
      <c r="K861" s="353" t="s">
        <v>793</v>
      </c>
      <c r="L861" s="353" t="s">
        <v>793</v>
      </c>
      <c r="M861" s="67" t="s">
        <v>790</v>
      </c>
      <c r="N861" s="353">
        <v>21.035009380000002</v>
      </c>
      <c r="O861" s="353">
        <v>92.332046509999998</v>
      </c>
      <c r="P861" s="67"/>
      <c r="Q861" s="457"/>
      <c r="R861" s="469"/>
      <c r="S861" s="357"/>
      <c r="T861" s="481">
        <v>43300</v>
      </c>
      <c r="U861" s="87"/>
      <c r="V861" s="67"/>
      <c r="W861" s="353"/>
      <c r="X861" s="457"/>
      <c r="Y861" s="457"/>
      <c r="Z861" s="457"/>
    </row>
    <row r="862" spans="1:26" ht="14.25" customHeight="1">
      <c r="A862" s="353" t="s">
        <v>2626</v>
      </c>
      <c r="B862" s="479" t="s">
        <v>304</v>
      </c>
      <c r="C862" s="478" t="s">
        <v>516</v>
      </c>
      <c r="D862" s="402" t="s">
        <v>1635</v>
      </c>
      <c r="E862" s="67"/>
      <c r="F862" s="353"/>
      <c r="G862" s="67"/>
      <c r="H862" s="67"/>
      <c r="I862" s="67"/>
      <c r="J862" s="67" t="s">
        <v>793</v>
      </c>
      <c r="K862" s="353" t="s">
        <v>793</v>
      </c>
      <c r="L862" s="353" t="s">
        <v>793</v>
      </c>
      <c r="M862" s="67" t="s">
        <v>293</v>
      </c>
      <c r="N862" s="353">
        <v>20.651159289999999</v>
      </c>
      <c r="O862" s="353">
        <v>92.605712890000007</v>
      </c>
      <c r="P862" s="67" t="s">
        <v>794</v>
      </c>
      <c r="Q862" s="67" t="s">
        <v>775</v>
      </c>
      <c r="R862" s="461"/>
      <c r="S862" s="86"/>
      <c r="T862" s="91"/>
      <c r="U862" s="87"/>
      <c r="V862" s="67" t="s">
        <v>516</v>
      </c>
      <c r="W862" s="353"/>
      <c r="X862" s="457"/>
      <c r="Y862" s="457"/>
      <c r="Z862" s="457"/>
    </row>
    <row r="863" spans="1:26" ht="14.25" customHeight="1">
      <c r="A863" s="353" t="s">
        <v>2626</v>
      </c>
      <c r="B863" s="489" t="s">
        <v>304</v>
      </c>
      <c r="C863" s="381" t="s">
        <v>593</v>
      </c>
      <c r="D863" s="355" t="s">
        <v>1635</v>
      </c>
      <c r="E863" s="457">
        <v>197999</v>
      </c>
      <c r="F863" s="457"/>
      <c r="G863" s="457"/>
      <c r="H863" s="457"/>
      <c r="I863" s="457"/>
      <c r="J863" s="457" t="s">
        <v>793</v>
      </c>
      <c r="K863" s="457" t="s">
        <v>793</v>
      </c>
      <c r="L863" s="457" t="s">
        <v>793</v>
      </c>
      <c r="M863" s="457" t="s">
        <v>790</v>
      </c>
      <c r="N863" s="457">
        <v>20.785320280000001</v>
      </c>
      <c r="O863" s="457">
        <v>92.406509400000004</v>
      </c>
      <c r="P863" s="457" t="s">
        <v>794</v>
      </c>
      <c r="Q863" s="457" t="s">
        <v>775</v>
      </c>
      <c r="R863" s="469"/>
      <c r="S863" s="462"/>
      <c r="T863" s="481"/>
      <c r="U863" s="463"/>
      <c r="V863" s="457" t="s">
        <v>593</v>
      </c>
      <c r="W863" s="353"/>
      <c r="X863" s="457"/>
      <c r="Y863" s="457"/>
      <c r="Z863" s="457"/>
    </row>
    <row r="864" spans="1:26" ht="14.25" customHeight="1">
      <c r="A864" s="353" t="s">
        <v>2626</v>
      </c>
      <c r="B864" s="479" t="s">
        <v>304</v>
      </c>
      <c r="C864" s="478" t="s">
        <v>543</v>
      </c>
      <c r="D864" s="402"/>
      <c r="E864" s="67">
        <v>197993</v>
      </c>
      <c r="F864" s="67" t="s">
        <v>543</v>
      </c>
      <c r="G864" s="67"/>
      <c r="H864" s="67"/>
      <c r="I864" s="67"/>
      <c r="J864" s="67" t="s">
        <v>793</v>
      </c>
      <c r="K864" s="67" t="s">
        <v>793</v>
      </c>
      <c r="L864" s="353" t="s">
        <v>793</v>
      </c>
      <c r="M864" s="67" t="s">
        <v>790</v>
      </c>
      <c r="N864" s="353">
        <v>20.809099199999999</v>
      </c>
      <c r="O864" s="353">
        <v>92.39829254</v>
      </c>
      <c r="P864" s="67"/>
      <c r="Q864" s="67"/>
      <c r="R864" s="461"/>
      <c r="S864" s="86"/>
      <c r="T864" s="91">
        <v>43300</v>
      </c>
      <c r="U864" s="87"/>
      <c r="V864" s="67"/>
      <c r="W864" s="353"/>
      <c r="X864" s="457"/>
      <c r="Y864" s="457"/>
      <c r="Z864" s="457"/>
    </row>
    <row r="865" spans="1:26" ht="14.25" customHeight="1">
      <c r="A865" s="353" t="s">
        <v>2626</v>
      </c>
      <c r="B865" s="380" t="s">
        <v>304</v>
      </c>
      <c r="C865" s="381" t="s">
        <v>474</v>
      </c>
      <c r="D865" s="355" t="s">
        <v>2274</v>
      </c>
      <c r="E865" s="67" t="s">
        <v>1389</v>
      </c>
      <c r="F865" s="464" t="s">
        <v>1732</v>
      </c>
      <c r="G865" s="67" t="s">
        <v>1732</v>
      </c>
      <c r="H865" s="67" t="s">
        <v>41</v>
      </c>
      <c r="I865" s="67"/>
      <c r="J865" s="67" t="s">
        <v>793</v>
      </c>
      <c r="K865" s="353" t="s">
        <v>793</v>
      </c>
      <c r="L865" s="353" t="s">
        <v>878</v>
      </c>
      <c r="M865" s="67" t="s">
        <v>293</v>
      </c>
      <c r="N865" s="353">
        <v>20.824777999999998</v>
      </c>
      <c r="O865" s="353">
        <v>92.362196999999995</v>
      </c>
      <c r="P865" s="67" t="s">
        <v>794</v>
      </c>
      <c r="Q865" s="67"/>
      <c r="R865" s="461"/>
      <c r="S865" s="86"/>
      <c r="T865" s="91"/>
      <c r="U865" s="87" t="s">
        <v>855</v>
      </c>
      <c r="V865" s="67" t="s">
        <v>474</v>
      </c>
      <c r="W865" s="353"/>
      <c r="X865" s="457"/>
      <c r="Y865" s="457"/>
      <c r="Z865" s="457"/>
    </row>
    <row r="866" spans="1:26" ht="14.25" customHeight="1">
      <c r="A866" s="353" t="s">
        <v>2626</v>
      </c>
      <c r="B866" s="489" t="s">
        <v>304</v>
      </c>
      <c r="C866" s="490" t="s">
        <v>2071</v>
      </c>
      <c r="D866" s="460"/>
      <c r="E866" s="459">
        <v>197858</v>
      </c>
      <c r="F866" s="353"/>
      <c r="G866" s="67"/>
      <c r="H866" s="67"/>
      <c r="I866" s="67"/>
      <c r="J866" s="67" t="s">
        <v>793</v>
      </c>
      <c r="K866" s="353" t="s">
        <v>793</v>
      </c>
      <c r="L866" s="353" t="s">
        <v>793</v>
      </c>
      <c r="M866" s="67" t="s">
        <v>2058</v>
      </c>
      <c r="N866" s="457">
        <v>21.160549159999999</v>
      </c>
      <c r="O866" s="457">
        <v>92.330261230000005</v>
      </c>
      <c r="P866" s="67"/>
      <c r="Q866" s="67"/>
      <c r="R866" s="469"/>
      <c r="S866" s="357"/>
      <c r="T866" s="91">
        <v>43300</v>
      </c>
      <c r="U866" s="87"/>
      <c r="V866" s="67"/>
      <c r="W866" s="353"/>
      <c r="X866" s="457"/>
      <c r="Y866" s="457"/>
      <c r="Z866" s="457"/>
    </row>
    <row r="867" spans="1:26" ht="14.25" customHeight="1">
      <c r="A867" s="353" t="s">
        <v>2626</v>
      </c>
      <c r="B867" s="375" t="s">
        <v>304</v>
      </c>
      <c r="C867" s="374" t="s">
        <v>2033</v>
      </c>
      <c r="D867" s="460"/>
      <c r="E867" s="343">
        <v>197996</v>
      </c>
      <c r="F867" s="353"/>
      <c r="G867" s="353"/>
      <c r="H867" s="462"/>
      <c r="I867" s="353"/>
      <c r="J867" s="353" t="s">
        <v>793</v>
      </c>
      <c r="K867" s="353" t="s">
        <v>793</v>
      </c>
      <c r="L867" s="353" t="s">
        <v>793</v>
      </c>
      <c r="M867" s="343" t="s">
        <v>790</v>
      </c>
      <c r="N867" s="343">
        <v>20.805980680000001</v>
      </c>
      <c r="O867" s="343">
        <v>92.383308409999998</v>
      </c>
      <c r="P867" s="343"/>
      <c r="Q867" s="459"/>
      <c r="R867" s="356"/>
      <c r="S867" s="357"/>
      <c r="T867" s="482">
        <v>43300</v>
      </c>
      <c r="U867" s="358"/>
      <c r="V867" s="343"/>
      <c r="W867" s="353"/>
      <c r="X867" s="457"/>
      <c r="Y867" s="457"/>
      <c r="Z867" s="457"/>
    </row>
    <row r="868" spans="1:26" ht="14.25" customHeight="1">
      <c r="A868" s="353" t="s">
        <v>2626</v>
      </c>
      <c r="B868" s="380" t="s">
        <v>304</v>
      </c>
      <c r="C868" s="381" t="s">
        <v>1881</v>
      </c>
      <c r="D868" s="355"/>
      <c r="E868" s="343">
        <v>197971</v>
      </c>
      <c r="F868" s="353" t="s">
        <v>1881</v>
      </c>
      <c r="G868" s="353"/>
      <c r="H868" s="353"/>
      <c r="I868" s="353"/>
      <c r="J868" s="353" t="s">
        <v>793</v>
      </c>
      <c r="K868" s="353" t="s">
        <v>793</v>
      </c>
      <c r="L868" s="353" t="s">
        <v>793</v>
      </c>
      <c r="M868" s="343" t="s">
        <v>790</v>
      </c>
      <c r="N868" s="343">
        <v>20.872400280000001</v>
      </c>
      <c r="O868" s="353">
        <v>92.337608340000003</v>
      </c>
      <c r="P868" s="343" t="s">
        <v>794</v>
      </c>
      <c r="Q868" s="353" t="s">
        <v>1883</v>
      </c>
      <c r="R868" s="364"/>
      <c r="S868" s="357"/>
      <c r="T868" s="376">
        <v>43245</v>
      </c>
      <c r="U868" s="358"/>
      <c r="V868" s="343"/>
      <c r="W868" s="353"/>
      <c r="X868" s="457"/>
      <c r="Y868" s="457"/>
      <c r="Z868" s="457"/>
    </row>
    <row r="869" spans="1:26" ht="14.25" customHeight="1">
      <c r="A869" s="353" t="s">
        <v>2626</v>
      </c>
      <c r="B869" s="158" t="s">
        <v>304</v>
      </c>
      <c r="C869" s="381" t="s">
        <v>334</v>
      </c>
      <c r="D869" s="355" t="s">
        <v>1635</v>
      </c>
      <c r="E869" s="153"/>
      <c r="F869" s="153"/>
      <c r="G869" s="153"/>
      <c r="H869" s="153"/>
      <c r="I869" s="153"/>
      <c r="J869" s="153" t="s">
        <v>793</v>
      </c>
      <c r="K869" s="153" t="s">
        <v>793</v>
      </c>
      <c r="L869" s="153" t="s">
        <v>793</v>
      </c>
      <c r="M869" s="153" t="s">
        <v>790</v>
      </c>
      <c r="N869" s="485"/>
      <c r="O869" s="485"/>
      <c r="P869" s="153" t="s">
        <v>794</v>
      </c>
      <c r="Q869" s="153" t="s">
        <v>775</v>
      </c>
      <c r="R869" s="154"/>
      <c r="S869" s="152"/>
      <c r="T869" s="155"/>
      <c r="U869" s="156"/>
      <c r="V869" s="153" t="s">
        <v>334</v>
      </c>
      <c r="W869" s="353"/>
      <c r="X869" s="457"/>
      <c r="Y869" s="457"/>
      <c r="Z869" s="457"/>
    </row>
    <row r="870" spans="1:26" ht="14.25" customHeight="1">
      <c r="A870" s="353" t="s">
        <v>2626</v>
      </c>
      <c r="B870" s="489" t="s">
        <v>304</v>
      </c>
      <c r="C870" s="490" t="s">
        <v>598</v>
      </c>
      <c r="D870" s="460" t="s">
        <v>1635</v>
      </c>
      <c r="E870" s="353">
        <v>198000</v>
      </c>
      <c r="F870" s="353"/>
      <c r="G870" s="353"/>
      <c r="H870" s="353"/>
      <c r="I870" s="353"/>
      <c r="J870" s="343" t="s">
        <v>793</v>
      </c>
      <c r="K870" s="343" t="s">
        <v>793</v>
      </c>
      <c r="L870" s="343" t="s">
        <v>793</v>
      </c>
      <c r="M870" s="353" t="s">
        <v>790</v>
      </c>
      <c r="N870" s="353">
        <v>20.788669590000001</v>
      </c>
      <c r="O870" s="353">
        <v>92.397300720000004</v>
      </c>
      <c r="P870" s="343" t="s">
        <v>794</v>
      </c>
      <c r="Q870" s="353" t="s">
        <v>775</v>
      </c>
      <c r="R870" s="469"/>
      <c r="S870" s="357"/>
      <c r="T870" s="376"/>
      <c r="U870" s="358"/>
      <c r="V870" s="353" t="s">
        <v>598</v>
      </c>
      <c r="W870" s="353"/>
      <c r="X870" s="457"/>
      <c r="Y870" s="457"/>
      <c r="Z870" s="457"/>
    </row>
    <row r="871" spans="1:26" ht="14.25" customHeight="1">
      <c r="A871" s="353" t="s">
        <v>2626</v>
      </c>
      <c r="B871" s="380" t="s">
        <v>304</v>
      </c>
      <c r="C871" s="381" t="s">
        <v>2026</v>
      </c>
      <c r="D871" s="355"/>
      <c r="E871" s="343">
        <v>197972</v>
      </c>
      <c r="F871" s="459"/>
      <c r="G871" s="343"/>
      <c r="H871" s="343"/>
      <c r="I871" s="343"/>
      <c r="J871" s="343" t="s">
        <v>793</v>
      </c>
      <c r="K871" s="353" t="s">
        <v>793</v>
      </c>
      <c r="L871" s="353" t="s">
        <v>793</v>
      </c>
      <c r="M871" s="343" t="s">
        <v>790</v>
      </c>
      <c r="N871" s="343">
        <v>20.879430769999999</v>
      </c>
      <c r="O871" s="353">
        <v>92.334373470000003</v>
      </c>
      <c r="P871" s="343"/>
      <c r="Q871" s="343"/>
      <c r="R871" s="469"/>
      <c r="S871" s="462"/>
      <c r="T871" s="346">
        <v>43300</v>
      </c>
      <c r="U871" s="345"/>
      <c r="V871" s="343"/>
      <c r="W871" s="353"/>
      <c r="X871" s="457"/>
      <c r="Y871" s="457"/>
      <c r="Z871" s="457"/>
    </row>
    <row r="872" spans="1:26" ht="14.25" customHeight="1">
      <c r="A872" s="353" t="s">
        <v>2626</v>
      </c>
      <c r="B872" s="479" t="s">
        <v>304</v>
      </c>
      <c r="C872" s="478" t="s">
        <v>293</v>
      </c>
      <c r="D872" s="402" t="s">
        <v>1635</v>
      </c>
      <c r="E872" s="457"/>
      <c r="F872" s="457"/>
      <c r="G872" s="457"/>
      <c r="H872" s="457"/>
      <c r="I872" s="457"/>
      <c r="J872" s="457" t="s">
        <v>793</v>
      </c>
      <c r="K872" s="457" t="s">
        <v>793</v>
      </c>
      <c r="L872" s="457" t="s">
        <v>793</v>
      </c>
      <c r="M872" s="457" t="s">
        <v>293</v>
      </c>
      <c r="N872" s="473"/>
      <c r="O872" s="473"/>
      <c r="P872" s="457" t="s">
        <v>794</v>
      </c>
      <c r="Q872" s="457" t="s">
        <v>775</v>
      </c>
      <c r="R872" s="461"/>
      <c r="S872" s="462"/>
      <c r="T872" s="481"/>
      <c r="U872" s="463"/>
      <c r="V872" s="457" t="s">
        <v>293</v>
      </c>
      <c r="W872" s="353"/>
      <c r="X872" s="457"/>
      <c r="Y872" s="457"/>
      <c r="Z872" s="457"/>
    </row>
    <row r="873" spans="1:26" ht="14.25" customHeight="1">
      <c r="A873" s="353" t="s">
        <v>2626</v>
      </c>
      <c r="B873" s="479" t="s">
        <v>304</v>
      </c>
      <c r="C873" s="478" t="s">
        <v>339</v>
      </c>
      <c r="D873" s="402" t="s">
        <v>1635</v>
      </c>
      <c r="E873" s="343"/>
      <c r="F873" s="343"/>
      <c r="G873" s="343"/>
      <c r="H873" s="343"/>
      <c r="I873" s="343"/>
      <c r="J873" s="343" t="s">
        <v>793</v>
      </c>
      <c r="K873" s="343" t="s">
        <v>793</v>
      </c>
      <c r="L873" s="343" t="s">
        <v>793</v>
      </c>
      <c r="M873" s="343" t="s">
        <v>293</v>
      </c>
      <c r="N873" s="343"/>
      <c r="O873" s="343"/>
      <c r="P873" s="343" t="s">
        <v>794</v>
      </c>
      <c r="Q873" s="343" t="s">
        <v>775</v>
      </c>
      <c r="R873" s="461"/>
      <c r="S873" s="357"/>
      <c r="T873" s="346"/>
      <c r="U873" s="345"/>
      <c r="V873" s="343"/>
      <c r="W873" s="353"/>
      <c r="X873" s="457"/>
      <c r="Y873" s="457"/>
      <c r="Z873" s="457"/>
    </row>
    <row r="874" spans="1:26" ht="14.25" customHeight="1">
      <c r="A874" s="353" t="s">
        <v>2626</v>
      </c>
      <c r="B874" s="489" t="s">
        <v>304</v>
      </c>
      <c r="C874" s="490" t="s">
        <v>1130</v>
      </c>
      <c r="D874" s="460" t="s">
        <v>1635</v>
      </c>
      <c r="E874" s="343"/>
      <c r="F874" s="353"/>
      <c r="G874" s="343"/>
      <c r="H874" s="343"/>
      <c r="I874" s="343"/>
      <c r="J874" s="343" t="s">
        <v>793</v>
      </c>
      <c r="K874" s="343" t="s">
        <v>793</v>
      </c>
      <c r="L874" s="343" t="s">
        <v>793</v>
      </c>
      <c r="M874" s="343" t="s">
        <v>790</v>
      </c>
      <c r="N874" s="343"/>
      <c r="O874" s="343"/>
      <c r="P874" s="343" t="s">
        <v>794</v>
      </c>
      <c r="Q874" s="343"/>
      <c r="R874" s="469"/>
      <c r="S874" s="357"/>
      <c r="T874" s="346"/>
      <c r="U874" s="345"/>
      <c r="V874" s="343" t="s">
        <v>339</v>
      </c>
      <c r="W874" s="353"/>
      <c r="X874" s="457"/>
      <c r="Y874" s="457"/>
      <c r="Z874" s="457"/>
    </row>
    <row r="875" spans="1:26" ht="14.25" customHeight="1">
      <c r="A875" s="353" t="s">
        <v>2626</v>
      </c>
      <c r="B875" s="489" t="s">
        <v>304</v>
      </c>
      <c r="C875" s="490" t="s">
        <v>340</v>
      </c>
      <c r="D875" s="460" t="s">
        <v>1635</v>
      </c>
      <c r="E875" s="343"/>
      <c r="F875" s="353"/>
      <c r="G875" s="343"/>
      <c r="H875" s="343"/>
      <c r="I875" s="343"/>
      <c r="J875" s="343" t="s">
        <v>793</v>
      </c>
      <c r="K875" s="343" t="s">
        <v>793</v>
      </c>
      <c r="L875" s="343" t="s">
        <v>793</v>
      </c>
      <c r="M875" s="343" t="s">
        <v>293</v>
      </c>
      <c r="N875" s="343"/>
      <c r="O875" s="343"/>
      <c r="P875" s="343" t="s">
        <v>794</v>
      </c>
      <c r="Q875" s="343" t="s">
        <v>775</v>
      </c>
      <c r="R875" s="469"/>
      <c r="S875" s="357"/>
      <c r="T875" s="346"/>
      <c r="U875" s="345"/>
      <c r="V875" s="343" t="s">
        <v>339</v>
      </c>
      <c r="W875" s="353"/>
      <c r="X875" s="457"/>
      <c r="Y875" s="457"/>
      <c r="Z875" s="457"/>
    </row>
    <row r="876" spans="1:26" ht="14.25" customHeight="1">
      <c r="A876" s="353" t="s">
        <v>2626</v>
      </c>
      <c r="B876" s="375" t="s">
        <v>304</v>
      </c>
      <c r="C876" s="374" t="s">
        <v>341</v>
      </c>
      <c r="D876" s="402" t="s">
        <v>1635</v>
      </c>
      <c r="E876" s="343"/>
      <c r="F876" s="353"/>
      <c r="G876" s="343"/>
      <c r="H876" s="343"/>
      <c r="I876" s="343"/>
      <c r="J876" s="343" t="s">
        <v>793</v>
      </c>
      <c r="K876" s="353" t="s">
        <v>793</v>
      </c>
      <c r="L876" s="353" t="s">
        <v>793</v>
      </c>
      <c r="M876" s="343" t="s">
        <v>790</v>
      </c>
      <c r="N876" s="343"/>
      <c r="O876" s="343"/>
      <c r="P876" s="343" t="s">
        <v>794</v>
      </c>
      <c r="Q876" s="343" t="s">
        <v>775</v>
      </c>
      <c r="R876" s="356"/>
      <c r="S876" s="357"/>
      <c r="T876" s="346"/>
      <c r="U876" s="345"/>
      <c r="V876" s="343" t="s">
        <v>341</v>
      </c>
      <c r="W876" s="353"/>
      <c r="X876" s="457"/>
      <c r="Y876" s="457"/>
      <c r="Z876" s="457"/>
    </row>
    <row r="877" spans="1:26" ht="14.25" customHeight="1">
      <c r="A877" s="353" t="s">
        <v>2626</v>
      </c>
      <c r="B877" s="380" t="s">
        <v>304</v>
      </c>
      <c r="C877" s="381" t="s">
        <v>2049</v>
      </c>
      <c r="D877" s="355"/>
      <c r="E877" s="353">
        <v>197897</v>
      </c>
      <c r="F877" s="353"/>
      <c r="G877" s="353"/>
      <c r="H877" s="353"/>
      <c r="I877" s="353"/>
      <c r="J877" s="353" t="s">
        <v>793</v>
      </c>
      <c r="K877" s="353" t="s">
        <v>793</v>
      </c>
      <c r="L877" s="353" t="s">
        <v>793</v>
      </c>
      <c r="M877" s="353" t="s">
        <v>293</v>
      </c>
      <c r="N877" s="353">
        <v>21.004550930000001</v>
      </c>
      <c r="O877" s="353">
        <v>92.294601439999994</v>
      </c>
      <c r="P877" s="353"/>
      <c r="Q877" s="353"/>
      <c r="R877" s="470"/>
      <c r="S877" s="466"/>
      <c r="T877" s="376">
        <v>43300</v>
      </c>
      <c r="U877" s="358"/>
      <c r="V877" s="353"/>
      <c r="W877" s="353"/>
      <c r="X877" s="457"/>
      <c r="Y877" s="457"/>
      <c r="Z877" s="457"/>
    </row>
    <row r="878" spans="1:26" ht="14.25" customHeight="1">
      <c r="A878" s="353" t="s">
        <v>2626</v>
      </c>
      <c r="B878" s="158" t="s">
        <v>304</v>
      </c>
      <c r="C878" s="159" t="s">
        <v>682</v>
      </c>
      <c r="D878" s="460"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6"/>
      <c r="S878" s="405"/>
      <c r="T878" s="155">
        <v>42745</v>
      </c>
      <c r="U878" s="156"/>
      <c r="V878" s="153" t="s">
        <v>682</v>
      </c>
      <c r="W878" s="353"/>
      <c r="X878" s="457"/>
      <c r="Y878" s="457"/>
      <c r="Z878" s="457"/>
    </row>
    <row r="879" spans="1:26" ht="14.25" customHeight="1">
      <c r="A879" s="353" t="s">
        <v>2626</v>
      </c>
      <c r="B879" s="380" t="s">
        <v>304</v>
      </c>
      <c r="C879" s="381" t="s">
        <v>670</v>
      </c>
      <c r="D879" s="355" t="s">
        <v>1635</v>
      </c>
      <c r="E879" s="353"/>
      <c r="F879" s="353"/>
      <c r="G879" s="343"/>
      <c r="H879" s="343"/>
      <c r="I879" s="353"/>
      <c r="J879" s="343" t="s">
        <v>793</v>
      </c>
      <c r="K879" s="353" t="s">
        <v>793</v>
      </c>
      <c r="L879" s="353" t="s">
        <v>793</v>
      </c>
      <c r="M879" s="343" t="s">
        <v>293</v>
      </c>
      <c r="N879" s="343">
        <v>21.004550930000001</v>
      </c>
      <c r="O879" s="343">
        <v>92.294601439999994</v>
      </c>
      <c r="P879" s="343" t="s">
        <v>794</v>
      </c>
      <c r="Q879" s="343" t="s">
        <v>775</v>
      </c>
      <c r="R879" s="364"/>
      <c r="S879" s="357"/>
      <c r="T879" s="346"/>
      <c r="U879" s="345"/>
      <c r="V879" s="343" t="s">
        <v>670</v>
      </c>
      <c r="W879" s="353"/>
      <c r="X879" s="457"/>
      <c r="Y879" s="457"/>
      <c r="Z879" s="457"/>
    </row>
    <row r="880" spans="1:26" ht="14.25" customHeight="1">
      <c r="A880" s="353" t="s">
        <v>2626</v>
      </c>
      <c r="B880" s="479" t="s">
        <v>304</v>
      </c>
      <c r="C880" s="478" t="s">
        <v>2047</v>
      </c>
      <c r="D880" s="402"/>
      <c r="E880" s="457">
        <v>197983</v>
      </c>
      <c r="F880" s="353"/>
      <c r="G880" s="353"/>
      <c r="H880" s="353"/>
      <c r="I880" s="353"/>
      <c r="J880" s="353" t="s">
        <v>793</v>
      </c>
      <c r="K880" s="353" t="s">
        <v>793</v>
      </c>
      <c r="L880" s="353" t="s">
        <v>793</v>
      </c>
      <c r="M880" s="353" t="s">
        <v>678</v>
      </c>
      <c r="N880" s="353">
        <v>20.834699629999999</v>
      </c>
      <c r="O880" s="353">
        <v>92.372390749999994</v>
      </c>
      <c r="P880" s="353"/>
      <c r="Q880" s="353"/>
      <c r="R880" s="461"/>
      <c r="S880" s="357"/>
      <c r="T880" s="376">
        <v>43300</v>
      </c>
      <c r="U880" s="358"/>
      <c r="V880" s="353"/>
      <c r="W880" s="353"/>
      <c r="X880" s="457"/>
      <c r="Y880" s="457"/>
      <c r="Z880" s="457"/>
    </row>
    <row r="881" spans="1:26" ht="14.25" customHeight="1">
      <c r="A881" s="353" t="s">
        <v>2626</v>
      </c>
      <c r="B881" s="375" t="s">
        <v>304</v>
      </c>
      <c r="C881" s="374" t="s">
        <v>561</v>
      </c>
      <c r="D881" s="402" t="s">
        <v>1635</v>
      </c>
      <c r="E881" s="343">
        <v>198047</v>
      </c>
      <c r="F881" s="343"/>
      <c r="G881" s="343"/>
      <c r="H881" s="343"/>
      <c r="I881" s="343"/>
      <c r="J881" s="343" t="s">
        <v>793</v>
      </c>
      <c r="K881" s="343" t="s">
        <v>793</v>
      </c>
      <c r="L881" s="343" t="s">
        <v>793</v>
      </c>
      <c r="M881" s="343" t="s">
        <v>790</v>
      </c>
      <c r="N881" s="343">
        <v>20.717479709999999</v>
      </c>
      <c r="O881" s="343">
        <v>92.437492370000001</v>
      </c>
      <c r="P881" s="343" t="s">
        <v>794</v>
      </c>
      <c r="Q881" s="343" t="s">
        <v>775</v>
      </c>
      <c r="R881" s="356"/>
      <c r="S881" s="357"/>
      <c r="T881" s="346"/>
      <c r="U881" s="345"/>
      <c r="V881" s="343" t="s">
        <v>561</v>
      </c>
      <c r="W881" s="353"/>
      <c r="X881" s="457"/>
      <c r="Y881" s="457"/>
      <c r="Z881" s="457"/>
    </row>
    <row r="882" spans="1:26" ht="14.25" customHeight="1">
      <c r="A882" s="353" t="s">
        <v>2626</v>
      </c>
      <c r="B882" s="375" t="s">
        <v>304</v>
      </c>
      <c r="C882" s="374" t="s">
        <v>2503</v>
      </c>
      <c r="D882" s="402"/>
      <c r="E882" s="343"/>
      <c r="F882" s="343" t="s">
        <v>2615</v>
      </c>
      <c r="G882" s="343"/>
      <c r="H882" s="343"/>
      <c r="I882" s="343"/>
      <c r="J882" s="343" t="s">
        <v>793</v>
      </c>
      <c r="K882" s="343" t="s">
        <v>793</v>
      </c>
      <c r="L882" s="343" t="s">
        <v>793</v>
      </c>
      <c r="M882" s="343" t="s">
        <v>293</v>
      </c>
      <c r="N882" s="343"/>
      <c r="O882" s="343"/>
      <c r="P882" s="343"/>
      <c r="Q882" s="343"/>
      <c r="R882" s="356"/>
      <c r="S882" s="357"/>
      <c r="T882" s="346"/>
      <c r="U882" s="345"/>
      <c r="V882" s="343"/>
      <c r="W882" s="353"/>
      <c r="X882" s="457"/>
      <c r="Y882" s="457"/>
      <c r="Z882" s="457"/>
    </row>
    <row r="883" spans="1:26" ht="14.25" customHeight="1">
      <c r="A883" s="462" t="s">
        <v>2626</v>
      </c>
      <c r="B883" s="489" t="s">
        <v>304</v>
      </c>
      <c r="C883" s="490" t="s">
        <v>2789</v>
      </c>
      <c r="D883" s="460"/>
      <c r="E883" s="343"/>
      <c r="F883" s="353"/>
      <c r="G883" s="343"/>
      <c r="H883" s="343"/>
      <c r="I883" s="343"/>
      <c r="J883" s="343" t="s">
        <v>793</v>
      </c>
      <c r="K883" s="343" t="s">
        <v>793</v>
      </c>
      <c r="L883" s="343" t="s">
        <v>793</v>
      </c>
      <c r="M883" s="343"/>
      <c r="N883" s="343"/>
      <c r="O883" s="343"/>
      <c r="P883" s="343"/>
      <c r="Q883" s="343"/>
      <c r="R883" s="469"/>
      <c r="S883" s="357"/>
      <c r="T883" s="346"/>
      <c r="U883" s="469"/>
      <c r="V883" s="343"/>
      <c r="W883" s="461"/>
      <c r="X883" s="457"/>
      <c r="Y883" s="457"/>
      <c r="Z883" s="457"/>
    </row>
    <row r="884" spans="1:26" ht="14.25" customHeight="1">
      <c r="A884" s="353" t="s">
        <v>2626</v>
      </c>
      <c r="B884" s="380" t="s">
        <v>304</v>
      </c>
      <c r="C884" s="381" t="s">
        <v>2034</v>
      </c>
      <c r="D884" s="355"/>
      <c r="E884" s="343">
        <v>220737</v>
      </c>
      <c r="F884" s="343" t="s">
        <v>543</v>
      </c>
      <c r="G884" s="343"/>
      <c r="H884" s="343"/>
      <c r="I884" s="343"/>
      <c r="J884" s="343" t="s">
        <v>793</v>
      </c>
      <c r="K884" s="343" t="s">
        <v>793</v>
      </c>
      <c r="L884" s="343" t="s">
        <v>793</v>
      </c>
      <c r="M884" s="343" t="s">
        <v>293</v>
      </c>
      <c r="N884" s="343">
        <v>20.806211470000001</v>
      </c>
      <c r="O884" s="343">
        <v>92.404357910000002</v>
      </c>
      <c r="P884" s="343"/>
      <c r="Q884" s="343"/>
      <c r="R884" s="364"/>
      <c r="S884" s="357"/>
      <c r="T884" s="346">
        <v>43300</v>
      </c>
      <c r="U884" s="345"/>
      <c r="V884" s="343"/>
      <c r="W884" s="353"/>
      <c r="X884" s="457"/>
      <c r="Y884" s="457"/>
      <c r="Z884" s="457"/>
    </row>
    <row r="885" spans="1:26" ht="14.25" customHeight="1">
      <c r="A885" s="353" t="s">
        <v>2626</v>
      </c>
      <c r="B885" s="479" t="s">
        <v>304</v>
      </c>
      <c r="C885" s="478" t="s">
        <v>2017</v>
      </c>
      <c r="D885" s="402"/>
      <c r="E885" s="343">
        <v>197940</v>
      </c>
      <c r="F885" s="343"/>
      <c r="G885" s="343"/>
      <c r="H885" s="343"/>
      <c r="I885" s="343"/>
      <c r="J885" s="343" t="s">
        <v>793</v>
      </c>
      <c r="K885" s="343" t="s">
        <v>793</v>
      </c>
      <c r="L885" s="343" t="s">
        <v>793</v>
      </c>
      <c r="M885" s="343" t="s">
        <v>790</v>
      </c>
      <c r="N885" s="343">
        <v>20.836729049999999</v>
      </c>
      <c r="O885" s="343">
        <v>92.350952149999998</v>
      </c>
      <c r="P885" s="343"/>
      <c r="Q885" s="343"/>
      <c r="R885" s="461"/>
      <c r="S885" s="357"/>
      <c r="T885" s="346">
        <v>43300</v>
      </c>
      <c r="U885" s="345"/>
      <c r="V885" s="343"/>
      <c r="W885" s="353"/>
      <c r="X885" s="457"/>
      <c r="Y885" s="457"/>
      <c r="Z885" s="457"/>
    </row>
    <row r="886" spans="1:26" ht="14.25" customHeight="1">
      <c r="A886" s="353" t="s">
        <v>2626</v>
      </c>
      <c r="B886" s="489" t="s">
        <v>304</v>
      </c>
      <c r="C886" s="490" t="s">
        <v>2016</v>
      </c>
      <c r="D886" s="460"/>
      <c r="E886" s="343">
        <v>197940</v>
      </c>
      <c r="F886" s="343"/>
      <c r="G886" s="343"/>
      <c r="H886" s="343"/>
      <c r="I886" s="343"/>
      <c r="J886" s="343" t="s">
        <v>793</v>
      </c>
      <c r="K886" s="343" t="s">
        <v>793</v>
      </c>
      <c r="L886" s="343" t="s">
        <v>793</v>
      </c>
      <c r="M886" s="343" t="s">
        <v>790</v>
      </c>
      <c r="N886" s="343">
        <v>20.836729049999999</v>
      </c>
      <c r="O886" s="343">
        <v>92.350952149999998</v>
      </c>
      <c r="P886" s="343"/>
      <c r="Q886" s="343"/>
      <c r="R886" s="469"/>
      <c r="S886" s="357"/>
      <c r="T886" s="346">
        <v>43300</v>
      </c>
      <c r="U886" s="345"/>
      <c r="V886" s="343"/>
      <c r="W886" s="353"/>
      <c r="X886" s="457"/>
      <c r="Y886" s="457"/>
      <c r="Z886" s="457"/>
    </row>
    <row r="887" spans="1:26" ht="14.25" customHeight="1">
      <c r="A887" s="353" t="s">
        <v>2626</v>
      </c>
      <c r="B887" s="489" t="s">
        <v>304</v>
      </c>
      <c r="C887" s="490" t="s">
        <v>2014</v>
      </c>
      <c r="D887" s="460"/>
      <c r="E887" s="459">
        <v>197940</v>
      </c>
      <c r="F887" s="353"/>
      <c r="G887" s="353"/>
      <c r="H887" s="353"/>
      <c r="I887" s="353"/>
      <c r="J887" s="343" t="s">
        <v>793</v>
      </c>
      <c r="K887" s="343" t="s">
        <v>793</v>
      </c>
      <c r="L887" s="343" t="s">
        <v>793</v>
      </c>
      <c r="M887" s="353" t="s">
        <v>790</v>
      </c>
      <c r="N887" s="353">
        <v>20.836729049999999</v>
      </c>
      <c r="O887" s="353">
        <v>92.350952149999998</v>
      </c>
      <c r="P887" s="343"/>
      <c r="Q887" s="353"/>
      <c r="R887" s="469"/>
      <c r="S887" s="357"/>
      <c r="T887" s="376">
        <v>43300</v>
      </c>
      <c r="U887" s="358"/>
      <c r="V887" s="353"/>
      <c r="W887" s="353"/>
      <c r="X887" s="457"/>
      <c r="Y887" s="457"/>
      <c r="Z887" s="457"/>
    </row>
    <row r="888" spans="1:26" ht="14.25" customHeight="1">
      <c r="A888" s="353" t="s">
        <v>2626</v>
      </c>
      <c r="B888" s="375" t="s">
        <v>304</v>
      </c>
      <c r="C888" s="374" t="s">
        <v>2083</v>
      </c>
      <c r="D888" s="402"/>
      <c r="E888" s="353">
        <v>197940</v>
      </c>
      <c r="F888" s="353"/>
      <c r="G888" s="353"/>
      <c r="H888" s="353"/>
      <c r="I888" s="353"/>
      <c r="J888" s="343" t="s">
        <v>793</v>
      </c>
      <c r="K888" s="353" t="s">
        <v>793</v>
      </c>
      <c r="L888" s="353" t="s">
        <v>793</v>
      </c>
      <c r="M888" s="353" t="s">
        <v>678</v>
      </c>
      <c r="N888" s="353">
        <v>20.836729049999999</v>
      </c>
      <c r="O888" s="353">
        <v>92.350952149999998</v>
      </c>
      <c r="P888" s="343"/>
      <c r="Q888" s="353"/>
      <c r="R888" s="356"/>
      <c r="S888" s="357"/>
      <c r="T888" s="376">
        <v>43300</v>
      </c>
      <c r="U888" s="358"/>
      <c r="V888" s="353"/>
      <c r="W888" s="353"/>
      <c r="X888" s="457"/>
      <c r="Y888" s="457"/>
      <c r="Z888" s="457"/>
    </row>
    <row r="889" spans="1:26" ht="14.25" customHeight="1">
      <c r="A889" s="353" t="s">
        <v>2626</v>
      </c>
      <c r="B889" s="375" t="s">
        <v>304</v>
      </c>
      <c r="C889" s="374" t="s">
        <v>2064</v>
      </c>
      <c r="D889" s="402"/>
      <c r="E889" s="343">
        <v>197933</v>
      </c>
      <c r="F889" s="343"/>
      <c r="G889" s="343"/>
      <c r="H889" s="343"/>
      <c r="I889" s="343"/>
      <c r="J889" s="343" t="s">
        <v>793</v>
      </c>
      <c r="K889" s="343" t="s">
        <v>793</v>
      </c>
      <c r="L889" s="343" t="s">
        <v>793</v>
      </c>
      <c r="M889" s="343" t="s">
        <v>790</v>
      </c>
      <c r="N889" s="343">
        <v>20.85235977</v>
      </c>
      <c r="O889" s="353">
        <v>92.352790830000004</v>
      </c>
      <c r="P889" s="343"/>
      <c r="Q889" s="343"/>
      <c r="R889" s="356"/>
      <c r="S889" s="357"/>
      <c r="T889" s="346">
        <v>43300</v>
      </c>
      <c r="U889" s="345"/>
      <c r="V889" s="343"/>
      <c r="W889" s="353"/>
      <c r="X889" s="457"/>
      <c r="Y889" s="457"/>
      <c r="Z889" s="457"/>
    </row>
    <row r="890" spans="1:26" ht="14.25" customHeight="1">
      <c r="A890" s="353" t="s">
        <v>2626</v>
      </c>
      <c r="B890" s="375" t="s">
        <v>304</v>
      </c>
      <c r="C890" s="374" t="s">
        <v>683</v>
      </c>
      <c r="D890" s="402" t="s">
        <v>1635</v>
      </c>
      <c r="E890" s="343" t="s">
        <v>1398</v>
      </c>
      <c r="F890" s="343"/>
      <c r="G890" s="343"/>
      <c r="H890" s="343" t="s">
        <v>41</v>
      </c>
      <c r="I890" s="343"/>
      <c r="J890" s="343" t="s">
        <v>793</v>
      </c>
      <c r="K890" s="343" t="s">
        <v>793</v>
      </c>
      <c r="L890" s="343" t="s">
        <v>1635</v>
      </c>
      <c r="M890" s="343" t="s">
        <v>790</v>
      </c>
      <c r="N890" s="343">
        <v>21.066663999999999</v>
      </c>
      <c r="O890" s="343">
        <v>92.338031000000001</v>
      </c>
      <c r="P890" s="343" t="s">
        <v>756</v>
      </c>
      <c r="Q890" s="343" t="s">
        <v>775</v>
      </c>
      <c r="R890" s="356"/>
      <c r="S890" s="357"/>
      <c r="T890" s="346">
        <v>43248</v>
      </c>
      <c r="U890" s="345" t="s">
        <v>1876</v>
      </c>
      <c r="V890" s="343"/>
      <c r="W890" s="353"/>
      <c r="X890" s="457"/>
      <c r="Y890" s="457"/>
      <c r="Z890" s="457"/>
    </row>
    <row r="891" spans="1:26" ht="14.25" customHeight="1">
      <c r="A891" s="457" t="s">
        <v>2626</v>
      </c>
      <c r="B891" s="489" t="s">
        <v>304</v>
      </c>
      <c r="C891" s="490" t="s">
        <v>1989</v>
      </c>
      <c r="D891" s="355"/>
      <c r="E891" s="457">
        <v>197830</v>
      </c>
      <c r="F891" s="457" t="s">
        <v>1985</v>
      </c>
      <c r="G891" s="457"/>
      <c r="H891" s="457"/>
      <c r="I891" s="457"/>
      <c r="J891" s="457" t="s">
        <v>793</v>
      </c>
      <c r="K891" s="457" t="s">
        <v>793</v>
      </c>
      <c r="L891" s="457" t="s">
        <v>793</v>
      </c>
      <c r="M891" s="457" t="s">
        <v>293</v>
      </c>
      <c r="N891" s="457">
        <v>21.218200679999999</v>
      </c>
      <c r="O891" s="457">
        <v>92.323173519999997</v>
      </c>
      <c r="P891" s="457" t="s">
        <v>794</v>
      </c>
      <c r="Q891" s="457"/>
      <c r="R891" s="469"/>
      <c r="S891" s="462"/>
      <c r="T891" s="481">
        <v>43294</v>
      </c>
      <c r="U891" s="463" t="s">
        <v>1983</v>
      </c>
      <c r="V891" s="457"/>
      <c r="W891" s="457"/>
      <c r="X891" s="457"/>
      <c r="Y891" s="457"/>
      <c r="Z891" s="457"/>
    </row>
    <row r="892" spans="1:26" ht="14.25" customHeight="1">
      <c r="A892" s="353" t="s">
        <v>2626</v>
      </c>
      <c r="B892" s="489" t="s">
        <v>304</v>
      </c>
      <c r="C892" s="490" t="s">
        <v>2076</v>
      </c>
      <c r="D892" s="460"/>
      <c r="E892" s="343">
        <v>197835</v>
      </c>
      <c r="F892" s="353"/>
      <c r="G892" s="343"/>
      <c r="H892" s="343"/>
      <c r="I892" s="343"/>
      <c r="J892" s="343" t="s">
        <v>793</v>
      </c>
      <c r="K892" s="343" t="s">
        <v>793</v>
      </c>
      <c r="L892" s="343" t="s">
        <v>793</v>
      </c>
      <c r="M892" s="343" t="s">
        <v>293</v>
      </c>
      <c r="N892" s="343">
        <v>21.218610760000001</v>
      </c>
      <c r="O892" s="343">
        <v>92.300231929999995</v>
      </c>
      <c r="P892" s="343"/>
      <c r="Q892" s="343"/>
      <c r="R892" s="469"/>
      <c r="S892" s="357"/>
      <c r="T892" s="346">
        <v>43300</v>
      </c>
      <c r="U892" s="345"/>
      <c r="V892" s="343"/>
      <c r="W892" s="353"/>
      <c r="X892" s="457"/>
      <c r="Y892" s="457"/>
      <c r="Z892" s="457"/>
    </row>
    <row r="893" spans="1:26" ht="14.25" customHeight="1">
      <c r="A893" s="462" t="s">
        <v>2626</v>
      </c>
      <c r="B893" s="380" t="s">
        <v>304</v>
      </c>
      <c r="C893" s="490" t="s">
        <v>2790</v>
      </c>
      <c r="D893" s="355"/>
      <c r="E893" s="343">
        <v>198002</v>
      </c>
      <c r="F893" s="353" t="s">
        <v>2794</v>
      </c>
      <c r="G893" s="343"/>
      <c r="H893" s="343"/>
      <c r="I893" s="343"/>
      <c r="J893" s="343" t="s">
        <v>793</v>
      </c>
      <c r="K893" s="353" t="s">
        <v>793</v>
      </c>
      <c r="L893" s="353" t="s">
        <v>793</v>
      </c>
      <c r="M893" s="343" t="s">
        <v>790</v>
      </c>
      <c r="N893" s="343">
        <v>20.7818698883057</v>
      </c>
      <c r="O893" s="343">
        <v>92.393142700195298</v>
      </c>
      <c r="P893" s="343" t="s">
        <v>794</v>
      </c>
      <c r="Q893" s="343" t="s">
        <v>775</v>
      </c>
      <c r="R893" s="364"/>
      <c r="S893" s="357"/>
      <c r="T893" s="346"/>
      <c r="U893" s="469"/>
      <c r="V893" s="459" t="s">
        <v>589</v>
      </c>
      <c r="W893" s="461"/>
      <c r="X893" s="457"/>
      <c r="Y893" s="457"/>
      <c r="Z893" s="457"/>
    </row>
    <row r="894" spans="1:26" ht="14.25" customHeight="1">
      <c r="A894" s="353" t="s">
        <v>2626</v>
      </c>
      <c r="B894" s="375" t="s">
        <v>304</v>
      </c>
      <c r="C894" s="374" t="s">
        <v>2040</v>
      </c>
      <c r="D894" s="402"/>
      <c r="E894" s="457" t="s">
        <v>2085</v>
      </c>
      <c r="F894" s="343"/>
      <c r="G894" s="343"/>
      <c r="H894" s="343"/>
      <c r="I894" s="343"/>
      <c r="J894" s="343" t="s">
        <v>793</v>
      </c>
      <c r="K894" s="343" t="s">
        <v>793</v>
      </c>
      <c r="L894" s="343" t="s">
        <v>793</v>
      </c>
      <c r="M894" s="343" t="s">
        <v>293</v>
      </c>
      <c r="N894" s="343"/>
      <c r="O894" s="343"/>
      <c r="P894" s="343"/>
      <c r="Q894" s="343"/>
      <c r="R894" s="356"/>
      <c r="S894" s="357"/>
      <c r="T894" s="346">
        <v>43300</v>
      </c>
      <c r="U894" s="345"/>
      <c r="V894" s="343"/>
      <c r="W894" s="353"/>
      <c r="X894" s="457"/>
      <c r="Y894" s="457"/>
      <c r="Z894" s="457"/>
    </row>
    <row r="895" spans="1:26" ht="14.25" customHeight="1">
      <c r="A895" s="353" t="s">
        <v>2626</v>
      </c>
      <c r="B895" s="479" t="s">
        <v>304</v>
      </c>
      <c r="C895" s="374" t="s">
        <v>2039</v>
      </c>
      <c r="D895" s="402"/>
      <c r="E895" s="457" t="s">
        <v>2086</v>
      </c>
      <c r="F895" s="457"/>
      <c r="G895" s="457"/>
      <c r="H895" s="457"/>
      <c r="I895" s="457"/>
      <c r="J895" s="457" t="s">
        <v>793</v>
      </c>
      <c r="K895" s="457" t="s">
        <v>793</v>
      </c>
      <c r="L895" s="457" t="s">
        <v>793</v>
      </c>
      <c r="M895" s="457" t="s">
        <v>293</v>
      </c>
      <c r="N895" s="457"/>
      <c r="O895" s="457"/>
      <c r="P895" s="343"/>
      <c r="Q895" s="457"/>
      <c r="R895" s="461"/>
      <c r="S895" s="462"/>
      <c r="T895" s="481">
        <v>43300</v>
      </c>
      <c r="U895" s="463"/>
      <c r="V895" s="457"/>
      <c r="W895" s="353"/>
      <c r="X895" s="457"/>
      <c r="Y895" s="457"/>
      <c r="Z895" s="457"/>
    </row>
    <row r="896" spans="1:26" ht="14.25" customHeight="1">
      <c r="A896" s="353" t="s">
        <v>2626</v>
      </c>
      <c r="B896" s="375" t="s">
        <v>304</v>
      </c>
      <c r="C896" s="374" t="s">
        <v>2038</v>
      </c>
      <c r="D896" s="402"/>
      <c r="E896" s="353" t="s">
        <v>2087</v>
      </c>
      <c r="F896" s="353"/>
      <c r="G896" s="343"/>
      <c r="H896" s="343"/>
      <c r="I896" s="353"/>
      <c r="J896" s="343" t="s">
        <v>793</v>
      </c>
      <c r="K896" s="343" t="s">
        <v>793</v>
      </c>
      <c r="L896" s="353" t="s">
        <v>793</v>
      </c>
      <c r="M896" s="343" t="s">
        <v>293</v>
      </c>
      <c r="N896" s="343"/>
      <c r="O896" s="343"/>
      <c r="P896" s="343"/>
      <c r="Q896" s="343"/>
      <c r="R896" s="356"/>
      <c r="S896" s="357"/>
      <c r="T896" s="346">
        <v>43300</v>
      </c>
      <c r="U896" s="345"/>
      <c r="V896" s="343"/>
      <c r="W896" s="353"/>
      <c r="X896" s="457"/>
      <c r="Y896" s="457"/>
      <c r="Z896" s="457"/>
    </row>
    <row r="897" spans="1:26" ht="14.25" customHeight="1">
      <c r="A897" s="353" t="s">
        <v>2626</v>
      </c>
      <c r="B897" s="479" t="s">
        <v>304</v>
      </c>
      <c r="C897" s="478" t="s">
        <v>2037</v>
      </c>
      <c r="D897" s="402"/>
      <c r="E897" s="353" t="s">
        <v>2088</v>
      </c>
      <c r="F897" s="353"/>
      <c r="G897" s="353"/>
      <c r="H897" s="353"/>
      <c r="I897" s="353"/>
      <c r="J897" s="353" t="s">
        <v>793</v>
      </c>
      <c r="K897" s="353" t="s">
        <v>793</v>
      </c>
      <c r="L897" s="353" t="s">
        <v>793</v>
      </c>
      <c r="M897" s="353" t="s">
        <v>293</v>
      </c>
      <c r="N897" s="353"/>
      <c r="O897" s="353"/>
      <c r="P897" s="353"/>
      <c r="Q897" s="353"/>
      <c r="R897" s="461"/>
      <c r="S897" s="357"/>
      <c r="T897" s="376">
        <v>43300</v>
      </c>
      <c r="U897" s="358"/>
      <c r="V897" s="353"/>
      <c r="W897" s="353"/>
      <c r="X897" s="457"/>
      <c r="Y897" s="457"/>
      <c r="Z897" s="457"/>
    </row>
    <row r="898" spans="1:26" ht="14.25" customHeight="1">
      <c r="A898" s="353" t="s">
        <v>2626</v>
      </c>
      <c r="B898" s="479" t="s">
        <v>304</v>
      </c>
      <c r="C898" s="478" t="s">
        <v>1884</v>
      </c>
      <c r="D898" s="402"/>
      <c r="E898" s="353">
        <v>198016</v>
      </c>
      <c r="F898" s="353"/>
      <c r="G898" s="353"/>
      <c r="H898" s="353"/>
      <c r="I898" s="353"/>
      <c r="J898" s="353" t="s">
        <v>793</v>
      </c>
      <c r="K898" s="353" t="s">
        <v>793</v>
      </c>
      <c r="L898" s="353" t="s">
        <v>793</v>
      </c>
      <c r="M898" s="353" t="s">
        <v>293</v>
      </c>
      <c r="N898" s="353">
        <v>20.731571200000001</v>
      </c>
      <c r="O898" s="353">
        <v>92.428176879999995</v>
      </c>
      <c r="P898" s="353" t="s">
        <v>794</v>
      </c>
      <c r="Q898" s="353" t="s">
        <v>1883</v>
      </c>
      <c r="R898" s="461"/>
      <c r="S898" s="357"/>
      <c r="T898" s="376">
        <v>43245</v>
      </c>
      <c r="U898" s="358"/>
      <c r="V898" s="353"/>
      <c r="W898" s="353"/>
      <c r="X898" s="457"/>
      <c r="Y898" s="457"/>
      <c r="Z898" s="457"/>
    </row>
    <row r="899" spans="1:26" ht="14.25" customHeight="1">
      <c r="A899" s="409" t="s">
        <v>2626</v>
      </c>
      <c r="B899" s="410" t="s">
        <v>304</v>
      </c>
      <c r="C899" s="419" t="s">
        <v>2664</v>
      </c>
      <c r="D899" s="355"/>
      <c r="E899" s="411">
        <v>198085</v>
      </c>
      <c r="F899" s="411" t="s">
        <v>2650</v>
      </c>
      <c r="G899" s="411"/>
      <c r="H899" s="411"/>
      <c r="I899" s="411"/>
      <c r="J899" s="411" t="s">
        <v>2632</v>
      </c>
      <c r="K899" s="411" t="s">
        <v>2600</v>
      </c>
      <c r="L899" s="411" t="s">
        <v>2600</v>
      </c>
      <c r="M899" s="411"/>
      <c r="N899" s="411">
        <v>20.4804992675781</v>
      </c>
      <c r="O899" s="485">
        <v>92.611358642578097</v>
      </c>
      <c r="P899" s="411"/>
      <c r="Q899" s="411" t="s">
        <v>2605</v>
      </c>
      <c r="R899" s="412"/>
      <c r="S899" s="409"/>
      <c r="T899" s="413">
        <v>43580</v>
      </c>
      <c r="U899" s="414" t="s">
        <v>2651</v>
      </c>
      <c r="V899" s="415"/>
      <c r="W899" s="461"/>
      <c r="X899" s="457"/>
      <c r="Y899" s="457"/>
      <c r="Z899" s="457"/>
    </row>
    <row r="900" spans="1:26" ht="14.25" customHeight="1">
      <c r="A900" s="353" t="s">
        <v>2626</v>
      </c>
      <c r="B900" s="375" t="s">
        <v>304</v>
      </c>
      <c r="C900" s="374" t="s">
        <v>1727</v>
      </c>
      <c r="D900" s="402"/>
      <c r="E900" s="343">
        <v>197917</v>
      </c>
      <c r="F900" s="353"/>
      <c r="G900" s="343"/>
      <c r="H900" s="343"/>
      <c r="I900" s="343"/>
      <c r="J900" s="343" t="s">
        <v>793</v>
      </c>
      <c r="K900" s="343" t="s">
        <v>793</v>
      </c>
      <c r="L900" s="353" t="s">
        <v>793</v>
      </c>
      <c r="M900" s="343" t="s">
        <v>293</v>
      </c>
      <c r="N900" s="343">
        <v>20.943050379999999</v>
      </c>
      <c r="O900" s="343">
        <v>92.315856929999995</v>
      </c>
      <c r="P900" s="343"/>
      <c r="Q900" s="343"/>
      <c r="R900" s="356"/>
      <c r="S900" s="357"/>
      <c r="T900" s="346">
        <v>43300</v>
      </c>
      <c r="U900" s="345"/>
      <c r="V900" s="343"/>
      <c r="W900" s="353"/>
      <c r="X900" s="457"/>
      <c r="Y900" s="457"/>
      <c r="Z900" s="457"/>
    </row>
    <row r="901" spans="1:26" ht="14.25" customHeight="1">
      <c r="A901" s="353" t="s">
        <v>2626</v>
      </c>
      <c r="B901" s="489" t="s">
        <v>304</v>
      </c>
      <c r="C901" s="490" t="s">
        <v>2668</v>
      </c>
      <c r="D901" s="460"/>
      <c r="E901" s="343">
        <v>220747</v>
      </c>
      <c r="F901" s="353"/>
      <c r="G901" s="343"/>
      <c r="H901" s="343"/>
      <c r="I901" s="343"/>
      <c r="J901" s="343" t="s">
        <v>793</v>
      </c>
      <c r="K901" s="343" t="s">
        <v>793</v>
      </c>
      <c r="L901" s="343" t="s">
        <v>793</v>
      </c>
      <c r="M901" s="343" t="s">
        <v>2060</v>
      </c>
      <c r="N901" s="343">
        <v>21.153581620000001</v>
      </c>
      <c r="O901" s="343">
        <v>92.250885010000005</v>
      </c>
      <c r="P901" s="343" t="s">
        <v>794</v>
      </c>
      <c r="Q901" s="343"/>
      <c r="R901" s="469"/>
      <c r="S901" s="357"/>
      <c r="T901" s="346">
        <v>43300</v>
      </c>
      <c r="U901" s="345"/>
      <c r="V901" s="343"/>
      <c r="W901" s="353"/>
      <c r="X901" s="457"/>
      <c r="Y901" s="457"/>
      <c r="Z901" s="457"/>
    </row>
    <row r="902" spans="1:26" ht="14.25" customHeight="1">
      <c r="A902" s="353" t="s">
        <v>2626</v>
      </c>
      <c r="B902" s="375" t="s">
        <v>304</v>
      </c>
      <c r="C902" s="374" t="s">
        <v>2667</v>
      </c>
      <c r="D902" s="402"/>
      <c r="E902" s="459">
        <v>220747</v>
      </c>
      <c r="F902" s="343" t="s">
        <v>1986</v>
      </c>
      <c r="G902" s="343"/>
      <c r="H902" s="343"/>
      <c r="I902" s="343"/>
      <c r="J902" s="343" t="s">
        <v>793</v>
      </c>
      <c r="K902" s="353" t="s">
        <v>793</v>
      </c>
      <c r="L902" s="353" t="s">
        <v>793</v>
      </c>
      <c r="M902" s="343" t="s">
        <v>293</v>
      </c>
      <c r="N902" s="343">
        <v>21.153581620000001</v>
      </c>
      <c r="O902" s="343">
        <v>92.250885010000005</v>
      </c>
      <c r="P902" s="343" t="s">
        <v>794</v>
      </c>
      <c r="Q902" s="343"/>
      <c r="R902" s="461"/>
      <c r="S902" s="462"/>
      <c r="T902" s="346">
        <v>43294</v>
      </c>
      <c r="U902" s="345" t="s">
        <v>1983</v>
      </c>
      <c r="V902" s="343"/>
      <c r="W902" s="353"/>
      <c r="X902" s="457"/>
      <c r="Y902" s="457"/>
      <c r="Z902" s="457"/>
    </row>
    <row r="903" spans="1:26" ht="14.25" customHeight="1">
      <c r="A903" s="353" t="s">
        <v>2626</v>
      </c>
      <c r="B903" s="489" t="s">
        <v>304</v>
      </c>
      <c r="C903" s="374" t="s">
        <v>2027</v>
      </c>
      <c r="D903" s="403"/>
      <c r="E903" s="459">
        <v>197957</v>
      </c>
      <c r="F903" s="459"/>
      <c r="G903" s="459"/>
      <c r="H903" s="459"/>
      <c r="I903" s="459"/>
      <c r="J903" s="459" t="s">
        <v>793</v>
      </c>
      <c r="K903" s="459" t="s">
        <v>793</v>
      </c>
      <c r="L903" s="459" t="s">
        <v>793</v>
      </c>
      <c r="M903" s="459" t="s">
        <v>790</v>
      </c>
      <c r="N903" s="459">
        <v>20.900329589999998</v>
      </c>
      <c r="O903" s="459">
        <v>92.362213130000001</v>
      </c>
      <c r="P903" s="343"/>
      <c r="Q903" s="459"/>
      <c r="R903" s="470"/>
      <c r="S903" s="466"/>
      <c r="T903" s="482">
        <v>43300</v>
      </c>
      <c r="U903" s="467"/>
      <c r="V903" s="459"/>
      <c r="W903" s="353"/>
      <c r="X903" s="457"/>
      <c r="Y903" s="457"/>
      <c r="Z903" s="457"/>
    </row>
    <row r="904" spans="1:26" ht="14.25" customHeight="1">
      <c r="A904" s="353" t="s">
        <v>2626</v>
      </c>
      <c r="B904" s="375" t="s">
        <v>304</v>
      </c>
      <c r="C904" s="374" t="s">
        <v>686</v>
      </c>
      <c r="D904" s="402" t="s">
        <v>1635</v>
      </c>
      <c r="E904" s="353">
        <v>220722</v>
      </c>
      <c r="F904" s="353"/>
      <c r="G904" s="343"/>
      <c r="H904" s="343"/>
      <c r="I904" s="343"/>
      <c r="J904" s="343" t="s">
        <v>793</v>
      </c>
      <c r="K904" s="353" t="s">
        <v>793</v>
      </c>
      <c r="L904" s="353" t="s">
        <v>793</v>
      </c>
      <c r="M904" s="343" t="s">
        <v>790</v>
      </c>
      <c r="N904" s="343">
        <v>21.200752260000002</v>
      </c>
      <c r="O904" s="343">
        <v>92.309303279999995</v>
      </c>
      <c r="P904" s="343" t="s">
        <v>794</v>
      </c>
      <c r="Q904" s="343" t="s">
        <v>775</v>
      </c>
      <c r="R904" s="356"/>
      <c r="S904" s="357"/>
      <c r="T904" s="346"/>
      <c r="U904" s="345"/>
      <c r="V904" s="343" t="s">
        <v>954</v>
      </c>
      <c r="W904" s="353"/>
      <c r="X904" s="457"/>
      <c r="Y904" s="457"/>
      <c r="Z904" s="457"/>
    </row>
    <row r="905" spans="1:26" ht="14.25" customHeight="1">
      <c r="A905" s="353" t="s">
        <v>2626</v>
      </c>
      <c r="B905" s="489" t="s">
        <v>304</v>
      </c>
      <c r="C905" s="490" t="s">
        <v>621</v>
      </c>
      <c r="D905" s="460" t="s">
        <v>1635</v>
      </c>
      <c r="E905" s="343" t="s">
        <v>1388</v>
      </c>
      <c r="F905" s="353"/>
      <c r="G905" s="343"/>
      <c r="H905" s="343" t="s">
        <v>41</v>
      </c>
      <c r="I905" s="343"/>
      <c r="J905" s="343" t="s">
        <v>793</v>
      </c>
      <c r="K905" s="353" t="s">
        <v>793</v>
      </c>
      <c r="L905" s="353" t="s">
        <v>1635</v>
      </c>
      <c r="M905" s="343" t="s">
        <v>790</v>
      </c>
      <c r="N905" s="343">
        <v>20.824517</v>
      </c>
      <c r="O905" s="343">
        <v>92.401293999999993</v>
      </c>
      <c r="P905" s="343" t="s">
        <v>756</v>
      </c>
      <c r="Q905" s="343"/>
      <c r="R905" s="469"/>
      <c r="S905" s="357"/>
      <c r="T905" s="346">
        <v>43248</v>
      </c>
      <c r="U905" s="345" t="s">
        <v>1876</v>
      </c>
      <c r="V905" s="343" t="s">
        <v>936</v>
      </c>
      <c r="W905" s="353"/>
      <c r="X905" s="457"/>
      <c r="Y905" s="457"/>
      <c r="Z905" s="457"/>
    </row>
    <row r="906" spans="1:26" ht="14.25" customHeight="1">
      <c r="A906" s="353" t="s">
        <v>2626</v>
      </c>
      <c r="B906" s="489" t="s">
        <v>304</v>
      </c>
      <c r="C906" s="490" t="s">
        <v>2029</v>
      </c>
      <c r="D906" s="460"/>
      <c r="E906" s="343">
        <v>197951</v>
      </c>
      <c r="F906" s="353"/>
      <c r="G906" s="343"/>
      <c r="H906" s="343"/>
      <c r="I906" s="343"/>
      <c r="J906" s="343" t="s">
        <v>793</v>
      </c>
      <c r="K906" s="353" t="s">
        <v>793</v>
      </c>
      <c r="L906" s="353" t="s">
        <v>793</v>
      </c>
      <c r="M906" s="343" t="s">
        <v>790</v>
      </c>
      <c r="N906" s="343">
        <v>20.905330660000001</v>
      </c>
      <c r="O906" s="343">
        <v>92.344802860000001</v>
      </c>
      <c r="P906" s="343"/>
      <c r="Q906" s="343"/>
      <c r="R906" s="469"/>
      <c r="S906" s="357"/>
      <c r="T906" s="346">
        <v>43300</v>
      </c>
      <c r="U906" s="345"/>
      <c r="V906" s="343"/>
      <c r="W906" s="353"/>
      <c r="X906" s="457"/>
      <c r="Y906" s="457"/>
      <c r="Z906" s="457"/>
    </row>
    <row r="907" spans="1:26" ht="14.25" customHeight="1">
      <c r="A907" s="353" t="s">
        <v>2626</v>
      </c>
      <c r="B907" s="489" t="s">
        <v>304</v>
      </c>
      <c r="C907" s="490" t="s">
        <v>2030</v>
      </c>
      <c r="D907" s="460"/>
      <c r="E907" s="343">
        <v>197952</v>
      </c>
      <c r="F907" s="343"/>
      <c r="G907" s="343"/>
      <c r="H907" s="343"/>
      <c r="I907" s="343"/>
      <c r="J907" s="343" t="s">
        <v>793</v>
      </c>
      <c r="K907" s="343" t="s">
        <v>793</v>
      </c>
      <c r="L907" s="343" t="s">
        <v>793</v>
      </c>
      <c r="M907" s="343" t="s">
        <v>790</v>
      </c>
      <c r="N907" s="343">
        <v>20.90098953</v>
      </c>
      <c r="O907" s="353">
        <v>92.355827329999997</v>
      </c>
      <c r="P907" s="343"/>
      <c r="Q907" s="343"/>
      <c r="R907" s="469"/>
      <c r="S907" s="357"/>
      <c r="T907" s="346">
        <v>43300</v>
      </c>
      <c r="U907" s="345"/>
      <c r="V907" s="343"/>
      <c r="W907" s="353"/>
      <c r="X907" s="457"/>
      <c r="Y907" s="457"/>
      <c r="Z907" s="457"/>
    </row>
    <row r="908" spans="1:26" ht="14.25" customHeight="1">
      <c r="A908" s="353" t="s">
        <v>2626</v>
      </c>
      <c r="B908" s="375" t="s">
        <v>304</v>
      </c>
      <c r="C908" s="374" t="s">
        <v>685</v>
      </c>
      <c r="D908" s="402" t="s">
        <v>1635</v>
      </c>
      <c r="E908" s="343">
        <v>197839</v>
      </c>
      <c r="F908" s="343"/>
      <c r="G908" s="343"/>
      <c r="H908" s="343"/>
      <c r="I908" s="343"/>
      <c r="J908" s="343" t="s">
        <v>793</v>
      </c>
      <c r="K908" s="343" t="s">
        <v>793</v>
      </c>
      <c r="L908" s="343" t="s">
        <v>793</v>
      </c>
      <c r="M908" s="343" t="s">
        <v>790</v>
      </c>
      <c r="N908" s="457">
        <v>21.18890953</v>
      </c>
      <c r="O908" s="457">
        <v>92.306762699999993</v>
      </c>
      <c r="P908" s="343" t="s">
        <v>794</v>
      </c>
      <c r="Q908" s="343" t="s">
        <v>775</v>
      </c>
      <c r="R908" s="356"/>
      <c r="S908" s="357"/>
      <c r="T908" s="346"/>
      <c r="U908" s="345"/>
      <c r="V908" s="343" t="s">
        <v>953</v>
      </c>
      <c r="W908" s="353"/>
      <c r="X908" s="457"/>
      <c r="Y908" s="457"/>
      <c r="Z908" s="457"/>
    </row>
    <row r="909" spans="1:26" ht="14.25" customHeight="1">
      <c r="A909" s="353" t="s">
        <v>2626</v>
      </c>
      <c r="B909" s="375" t="s">
        <v>304</v>
      </c>
      <c r="C909" s="374" t="s">
        <v>2045</v>
      </c>
      <c r="D909" s="402"/>
      <c r="E909" s="343"/>
      <c r="F909" s="353"/>
      <c r="G909" s="343"/>
      <c r="H909" s="343"/>
      <c r="I909" s="343"/>
      <c r="J909" s="343" t="s">
        <v>793</v>
      </c>
      <c r="K909" s="353" t="s">
        <v>793</v>
      </c>
      <c r="L909" s="353" t="s">
        <v>793</v>
      </c>
      <c r="M909" s="343" t="s">
        <v>2058</v>
      </c>
      <c r="N909" s="343"/>
      <c r="O909" s="343"/>
      <c r="P909" s="343"/>
      <c r="Q909" s="343"/>
      <c r="R909" s="356"/>
      <c r="S909" s="357"/>
      <c r="T909" s="346">
        <v>43300</v>
      </c>
      <c r="U909" s="345"/>
      <c r="V909" s="343"/>
      <c r="W909" s="353"/>
      <c r="X909" s="457"/>
      <c r="Y909" s="457"/>
      <c r="Z909" s="457"/>
    </row>
    <row r="910" spans="1:26" ht="14.25" customHeight="1">
      <c r="A910" s="353" t="s">
        <v>2626</v>
      </c>
      <c r="B910" s="375" t="s">
        <v>304</v>
      </c>
      <c r="C910" s="374" t="s">
        <v>2681</v>
      </c>
      <c r="D910" s="402"/>
      <c r="E910" s="343">
        <v>198101</v>
      </c>
      <c r="F910" s="353"/>
      <c r="G910" s="343"/>
      <c r="H910" s="343"/>
      <c r="I910" s="343"/>
      <c r="J910" s="343" t="s">
        <v>793</v>
      </c>
      <c r="K910" s="343" t="s">
        <v>793</v>
      </c>
      <c r="L910" s="343" t="s">
        <v>793</v>
      </c>
      <c r="M910" s="343" t="s">
        <v>2060</v>
      </c>
      <c r="N910" s="343">
        <v>21.177719119999999</v>
      </c>
      <c r="O910" s="343">
        <v>92.239547729999998</v>
      </c>
      <c r="P910" s="343"/>
      <c r="Q910" s="343"/>
      <c r="R910" s="465"/>
      <c r="S910" s="466"/>
      <c r="T910" s="346">
        <v>43300</v>
      </c>
      <c r="U910" s="345"/>
      <c r="V910" s="343"/>
      <c r="W910" s="353"/>
      <c r="X910" s="457"/>
      <c r="Y910" s="457"/>
      <c r="Z910" s="457"/>
    </row>
    <row r="911" spans="1:26" ht="14.25" customHeight="1">
      <c r="A911" s="353" t="s">
        <v>2626</v>
      </c>
      <c r="B911" s="375" t="s">
        <v>304</v>
      </c>
      <c r="C911" s="374" t="s">
        <v>1984</v>
      </c>
      <c r="D911" s="402"/>
      <c r="E911" s="343">
        <v>198101</v>
      </c>
      <c r="F911" s="343" t="s">
        <v>1986</v>
      </c>
      <c r="G911" s="343"/>
      <c r="H911" s="343"/>
      <c r="I911" s="343"/>
      <c r="J911" s="343" t="s">
        <v>793</v>
      </c>
      <c r="K911" s="343" t="s">
        <v>793</v>
      </c>
      <c r="L911" s="343" t="s">
        <v>793</v>
      </c>
      <c r="M911" s="343" t="s">
        <v>293</v>
      </c>
      <c r="N911" s="343">
        <v>21.177719119999999</v>
      </c>
      <c r="O911" s="343">
        <v>92.239547729999998</v>
      </c>
      <c r="P911" s="343" t="s">
        <v>794</v>
      </c>
      <c r="Q911" s="343"/>
      <c r="R911" s="356"/>
      <c r="S911" s="357"/>
      <c r="T911" s="346">
        <v>43294</v>
      </c>
      <c r="U911" s="345" t="s">
        <v>1983</v>
      </c>
      <c r="V911" s="343"/>
      <c r="W911" s="353"/>
      <c r="X911" s="457"/>
      <c r="Y911" s="457"/>
      <c r="Z911" s="457"/>
    </row>
    <row r="912" spans="1:26" ht="14.25" customHeight="1">
      <c r="A912" s="353" t="s">
        <v>2626</v>
      </c>
      <c r="B912" s="375" t="s">
        <v>304</v>
      </c>
      <c r="C912" s="374" t="s">
        <v>344</v>
      </c>
      <c r="D912" s="402" t="s">
        <v>1635</v>
      </c>
      <c r="E912" s="343"/>
      <c r="F912" s="343"/>
      <c r="G912" s="343"/>
      <c r="H912" s="343"/>
      <c r="I912" s="343"/>
      <c r="J912" s="343" t="s">
        <v>793</v>
      </c>
      <c r="K912" s="343" t="s">
        <v>793</v>
      </c>
      <c r="L912" s="343" t="s">
        <v>793</v>
      </c>
      <c r="M912" s="343" t="s">
        <v>293</v>
      </c>
      <c r="N912" s="353"/>
      <c r="O912" s="353"/>
      <c r="P912" s="343" t="s">
        <v>794</v>
      </c>
      <c r="Q912" s="343" t="s">
        <v>775</v>
      </c>
      <c r="R912" s="356"/>
      <c r="S912" s="357"/>
      <c r="T912" s="346"/>
      <c r="U912" s="345"/>
      <c r="V912" s="343" t="s">
        <v>344</v>
      </c>
      <c r="W912" s="353"/>
      <c r="X912" s="457"/>
      <c r="Y912" s="457"/>
      <c r="Z912" s="457"/>
    </row>
    <row r="913" spans="1:26" ht="14.25" customHeight="1">
      <c r="A913" s="353" t="s">
        <v>2626</v>
      </c>
      <c r="B913" s="375" t="s">
        <v>304</v>
      </c>
      <c r="C913" s="374" t="s">
        <v>345</v>
      </c>
      <c r="D913" s="402" t="s">
        <v>1635</v>
      </c>
      <c r="E913" s="343"/>
      <c r="F913" s="343"/>
      <c r="G913" s="343"/>
      <c r="H913" s="343"/>
      <c r="I913" s="343"/>
      <c r="J913" s="343" t="s">
        <v>793</v>
      </c>
      <c r="K913" s="343" t="s">
        <v>793</v>
      </c>
      <c r="L913" s="343" t="s">
        <v>793</v>
      </c>
      <c r="M913" s="343" t="s">
        <v>790</v>
      </c>
      <c r="N913" s="343"/>
      <c r="O913" s="343"/>
      <c r="P913" s="343" t="s">
        <v>794</v>
      </c>
      <c r="Q913" s="343" t="s">
        <v>775</v>
      </c>
      <c r="R913" s="356"/>
      <c r="S913" s="357"/>
      <c r="T913" s="346"/>
      <c r="U913" s="345"/>
      <c r="V913" s="343" t="s">
        <v>345</v>
      </c>
      <c r="W913" s="353"/>
      <c r="X913" s="457"/>
      <c r="Y913" s="457"/>
      <c r="Z913" s="457"/>
    </row>
    <row r="914" spans="1:26" ht="14.25" customHeight="1">
      <c r="A914" s="353" t="s">
        <v>2626</v>
      </c>
      <c r="B914" s="375" t="s">
        <v>304</v>
      </c>
      <c r="C914" s="374" t="s">
        <v>346</v>
      </c>
      <c r="D914" s="402" t="s">
        <v>1635</v>
      </c>
      <c r="E914" s="343"/>
      <c r="F914" s="353"/>
      <c r="G914" s="343"/>
      <c r="H914" s="343"/>
      <c r="I914" s="343"/>
      <c r="J914" s="343" t="s">
        <v>793</v>
      </c>
      <c r="K914" s="343" t="s">
        <v>793</v>
      </c>
      <c r="L914" s="343" t="s">
        <v>793</v>
      </c>
      <c r="M914" s="343" t="s">
        <v>790</v>
      </c>
      <c r="N914" s="457"/>
      <c r="O914" s="457"/>
      <c r="P914" s="343" t="s">
        <v>794</v>
      </c>
      <c r="Q914" s="343" t="s">
        <v>775</v>
      </c>
      <c r="R914" s="356"/>
      <c r="S914" s="357"/>
      <c r="T914" s="346"/>
      <c r="U914" s="345"/>
      <c r="V914" s="343" t="s">
        <v>346</v>
      </c>
      <c r="W914" s="353"/>
      <c r="X914" s="457"/>
      <c r="Y914" s="457"/>
      <c r="Z914" s="457"/>
    </row>
    <row r="915" spans="1:26" ht="14.25" customHeight="1">
      <c r="A915" s="457" t="s">
        <v>2626</v>
      </c>
      <c r="B915" s="479" t="s">
        <v>304</v>
      </c>
      <c r="C915" s="478" t="s">
        <v>2079</v>
      </c>
      <c r="D915" s="402"/>
      <c r="E915" s="457">
        <v>197825</v>
      </c>
      <c r="F915" s="457"/>
      <c r="G915" s="457"/>
      <c r="H915" s="457"/>
      <c r="I915" s="457"/>
      <c r="J915" s="457" t="s">
        <v>793</v>
      </c>
      <c r="K915" s="457" t="s">
        <v>793</v>
      </c>
      <c r="L915" s="457" t="s">
        <v>793</v>
      </c>
      <c r="M915" s="457" t="s">
        <v>2063</v>
      </c>
      <c r="N915" s="457">
        <v>21.239080430000001</v>
      </c>
      <c r="O915" s="457">
        <v>92.288932799999998</v>
      </c>
      <c r="P915" s="457"/>
      <c r="Q915" s="457"/>
      <c r="R915" s="461"/>
      <c r="S915" s="462"/>
      <c r="T915" s="481">
        <v>43300</v>
      </c>
      <c r="U915" s="463"/>
      <c r="V915" s="457"/>
      <c r="W915" s="457"/>
      <c r="X915" s="457"/>
      <c r="Y915" s="457"/>
      <c r="Z915" s="457"/>
    </row>
    <row r="916" spans="1:26" ht="14.25" customHeight="1">
      <c r="A916" s="353" t="s">
        <v>2626</v>
      </c>
      <c r="B916" s="375" t="s">
        <v>304</v>
      </c>
      <c r="C916" s="374" t="s">
        <v>347</v>
      </c>
      <c r="D916" s="402" t="s">
        <v>1635</v>
      </c>
      <c r="E916" s="353">
        <v>197826</v>
      </c>
      <c r="F916" s="343"/>
      <c r="G916" s="343"/>
      <c r="H916" s="353"/>
      <c r="I916" s="353"/>
      <c r="J916" s="353" t="s">
        <v>793</v>
      </c>
      <c r="K916" s="353" t="s">
        <v>793</v>
      </c>
      <c r="L916" s="353" t="s">
        <v>793</v>
      </c>
      <c r="M916" s="353" t="s">
        <v>1979</v>
      </c>
      <c r="N916" s="473"/>
      <c r="O916" s="473"/>
      <c r="P916" s="343" t="s">
        <v>794</v>
      </c>
      <c r="Q916" s="353" t="s">
        <v>775</v>
      </c>
      <c r="R916" s="356"/>
      <c r="S916" s="357"/>
      <c r="T916" s="376"/>
      <c r="U916" s="358"/>
      <c r="V916" s="343" t="s">
        <v>1142</v>
      </c>
      <c r="W916" s="353"/>
      <c r="X916" s="457"/>
      <c r="Y916" s="457"/>
      <c r="Z916" s="457"/>
    </row>
    <row r="917" spans="1:26" ht="14.25" customHeight="1">
      <c r="A917" s="457" t="s">
        <v>2626</v>
      </c>
      <c r="B917" s="479" t="s">
        <v>304</v>
      </c>
      <c r="C917" s="478" t="s">
        <v>2055</v>
      </c>
      <c r="D917" s="402"/>
      <c r="E917" s="457">
        <v>197930</v>
      </c>
      <c r="F917" s="457"/>
      <c r="G917" s="457"/>
      <c r="H917" s="457"/>
      <c r="I917" s="457"/>
      <c r="J917" s="343" t="s">
        <v>793</v>
      </c>
      <c r="K917" s="343" t="s">
        <v>793</v>
      </c>
      <c r="L917" s="343" t="s">
        <v>793</v>
      </c>
      <c r="M917" s="457" t="s">
        <v>790</v>
      </c>
      <c r="N917" s="457">
        <v>20.9400692</v>
      </c>
      <c r="O917" s="457">
        <v>92.337913510000007</v>
      </c>
      <c r="P917" s="457"/>
      <c r="Q917" s="457"/>
      <c r="R917" s="461"/>
      <c r="S917" s="462"/>
      <c r="T917" s="481">
        <v>43300</v>
      </c>
      <c r="U917" s="463"/>
      <c r="V917" s="457"/>
      <c r="W917" s="457"/>
      <c r="X917" s="457"/>
      <c r="Y917" s="457"/>
      <c r="Z917" s="457"/>
    </row>
    <row r="918" spans="1:26" ht="14.25" customHeight="1">
      <c r="A918" s="353" t="s">
        <v>2626</v>
      </c>
      <c r="B918" s="375" t="s">
        <v>304</v>
      </c>
      <c r="C918" s="374" t="s">
        <v>2073</v>
      </c>
      <c r="D918" s="402"/>
      <c r="E918" s="343">
        <v>220741</v>
      </c>
      <c r="F918" s="353"/>
      <c r="G918" s="343"/>
      <c r="H918" s="343"/>
      <c r="I918" s="343"/>
      <c r="J918" s="343" t="s">
        <v>793</v>
      </c>
      <c r="K918" s="343" t="s">
        <v>793</v>
      </c>
      <c r="L918" s="353" t="s">
        <v>793</v>
      </c>
      <c r="M918" s="343" t="s">
        <v>293</v>
      </c>
      <c r="N918" s="343">
        <v>20.680984500000001</v>
      </c>
      <c r="O918" s="343">
        <v>92.473495479999997</v>
      </c>
      <c r="P918" s="343"/>
      <c r="Q918" s="343"/>
      <c r="R918" s="356"/>
      <c r="S918" s="357"/>
      <c r="T918" s="346">
        <v>43300</v>
      </c>
      <c r="U918" s="345"/>
      <c r="V918" s="343"/>
      <c r="W918" s="353"/>
      <c r="X918" s="457"/>
      <c r="Y918" s="457"/>
      <c r="Z918" s="457"/>
    </row>
    <row r="919" spans="1:26" ht="14.25" customHeight="1">
      <c r="A919" s="353" t="s">
        <v>2626</v>
      </c>
      <c r="B919" s="375" t="s">
        <v>304</v>
      </c>
      <c r="C919" s="374" t="s">
        <v>350</v>
      </c>
      <c r="D919" s="402" t="s">
        <v>1635</v>
      </c>
      <c r="E919" s="353"/>
      <c r="F919" s="353"/>
      <c r="G919" s="353"/>
      <c r="H919" s="353"/>
      <c r="I919" s="353"/>
      <c r="J919" s="343" t="s">
        <v>793</v>
      </c>
      <c r="K919" s="343" t="s">
        <v>793</v>
      </c>
      <c r="L919" s="353" t="s">
        <v>793</v>
      </c>
      <c r="M919" s="343" t="s">
        <v>293</v>
      </c>
      <c r="N919" s="343"/>
      <c r="O919" s="343"/>
      <c r="P919" s="353" t="s">
        <v>794</v>
      </c>
      <c r="Q919" s="343" t="s">
        <v>775</v>
      </c>
      <c r="R919" s="356"/>
      <c r="S919" s="357"/>
      <c r="T919" s="346"/>
      <c r="U919" s="358"/>
      <c r="V919" s="353" t="s">
        <v>350</v>
      </c>
      <c r="W919" s="353"/>
      <c r="X919" s="457"/>
      <c r="Y919" s="457"/>
      <c r="Z919" s="457"/>
    </row>
    <row r="920" spans="1:26" ht="14.25" customHeight="1">
      <c r="A920" s="353" t="s">
        <v>2626</v>
      </c>
      <c r="B920" s="375" t="s">
        <v>304</v>
      </c>
      <c r="C920" s="374" t="s">
        <v>2504</v>
      </c>
      <c r="D920" s="402"/>
      <c r="E920" s="457">
        <v>220736</v>
      </c>
      <c r="F920" s="343" t="s">
        <v>2616</v>
      </c>
      <c r="G920" s="343"/>
      <c r="H920" s="343"/>
      <c r="I920" s="343"/>
      <c r="J920" s="343" t="s">
        <v>793</v>
      </c>
      <c r="K920" s="343" t="s">
        <v>793</v>
      </c>
      <c r="L920" s="343" t="s">
        <v>793</v>
      </c>
      <c r="M920" s="343" t="s">
        <v>293</v>
      </c>
      <c r="N920" s="343"/>
      <c r="O920" s="343"/>
      <c r="P920" s="343"/>
      <c r="Q920" s="343"/>
      <c r="R920" s="356"/>
      <c r="S920" s="357"/>
      <c r="T920" s="346"/>
      <c r="U920" s="345"/>
      <c r="V920" s="343"/>
      <c r="W920" s="353"/>
      <c r="X920" s="457"/>
      <c r="Y920" s="457"/>
      <c r="Z920" s="457"/>
    </row>
    <row r="921" spans="1:26" ht="14.25" customHeight="1">
      <c r="A921" s="353" t="s">
        <v>2626</v>
      </c>
      <c r="B921" s="375" t="s">
        <v>304</v>
      </c>
      <c r="C921" s="374" t="s">
        <v>631</v>
      </c>
      <c r="D921" s="402" t="s">
        <v>1635</v>
      </c>
      <c r="E921" s="457" t="s">
        <v>1392</v>
      </c>
      <c r="F921" s="353"/>
      <c r="G921" s="343"/>
      <c r="H921" s="343" t="s">
        <v>41</v>
      </c>
      <c r="I921" s="353"/>
      <c r="J921" s="343" t="s">
        <v>793</v>
      </c>
      <c r="K921" s="353" t="s">
        <v>793</v>
      </c>
      <c r="L921" s="353" t="s">
        <v>1635</v>
      </c>
      <c r="M921" s="343" t="s">
        <v>790</v>
      </c>
      <c r="N921" s="457">
        <v>20.833831</v>
      </c>
      <c r="O921" s="457">
        <v>92.416683000000006</v>
      </c>
      <c r="P921" s="343" t="s">
        <v>756</v>
      </c>
      <c r="Q921" s="343" t="s">
        <v>775</v>
      </c>
      <c r="R921" s="356"/>
      <c r="S921" s="357"/>
      <c r="T921" s="346">
        <v>43248</v>
      </c>
      <c r="U921" s="345" t="s">
        <v>1876</v>
      </c>
      <c r="V921" s="353"/>
      <c r="W921" s="353"/>
      <c r="X921" s="457"/>
      <c r="Y921" s="457"/>
      <c r="Z921" s="457"/>
    </row>
    <row r="922" spans="1:26" ht="14.25" customHeight="1">
      <c r="A922" s="353" t="s">
        <v>2626</v>
      </c>
      <c r="B922" s="375" t="s">
        <v>304</v>
      </c>
      <c r="C922" s="374" t="s">
        <v>1145</v>
      </c>
      <c r="D922" s="402" t="s">
        <v>1635</v>
      </c>
      <c r="E922" s="343"/>
      <c r="F922" s="343"/>
      <c r="G922" s="343"/>
      <c r="H922" s="343"/>
      <c r="I922" s="343"/>
      <c r="J922" s="343" t="s">
        <v>793</v>
      </c>
      <c r="K922" s="343" t="s">
        <v>793</v>
      </c>
      <c r="L922" s="343" t="s">
        <v>793</v>
      </c>
      <c r="M922" s="343" t="s">
        <v>790</v>
      </c>
      <c r="N922" s="368"/>
      <c r="O922" s="368"/>
      <c r="P922" s="353" t="s">
        <v>794</v>
      </c>
      <c r="Q922" s="343"/>
      <c r="R922" s="356"/>
      <c r="S922" s="357"/>
      <c r="T922" s="346"/>
      <c r="U922" s="345"/>
      <c r="V922" s="343" t="s">
        <v>1145</v>
      </c>
      <c r="W922" s="353"/>
      <c r="X922" s="457"/>
      <c r="Y922" s="457"/>
      <c r="Z922" s="457"/>
    </row>
    <row r="923" spans="1:26" ht="14.25" customHeight="1">
      <c r="A923" s="409" t="s">
        <v>2626</v>
      </c>
      <c r="B923" s="410" t="s">
        <v>304</v>
      </c>
      <c r="C923" s="419" t="s">
        <v>2662</v>
      </c>
      <c r="D923" s="460"/>
      <c r="E923" s="411">
        <v>197860</v>
      </c>
      <c r="F923" s="411" t="s">
        <v>2662</v>
      </c>
      <c r="G923" s="411"/>
      <c r="H923" s="411"/>
      <c r="I923" s="411"/>
      <c r="J923" s="411" t="s">
        <v>2632</v>
      </c>
      <c r="K923" s="411" t="s">
        <v>2600</v>
      </c>
      <c r="L923" s="411" t="s">
        <v>2600</v>
      </c>
      <c r="M923" s="411"/>
      <c r="N923" s="411">
        <v>21.1420993804932</v>
      </c>
      <c r="O923" s="411">
        <v>92.338172912597699</v>
      </c>
      <c r="P923" s="411"/>
      <c r="Q923" s="411" t="s">
        <v>2605</v>
      </c>
      <c r="R923" s="412"/>
      <c r="S923" s="409"/>
      <c r="T923" s="413">
        <v>43580</v>
      </c>
      <c r="U923" s="414" t="s">
        <v>2651</v>
      </c>
      <c r="V923" s="415"/>
      <c r="W923" s="461"/>
      <c r="X923" s="457"/>
      <c r="Y923" s="457"/>
      <c r="Z923" s="457"/>
    </row>
    <row r="924" spans="1:26" ht="14.25" customHeight="1">
      <c r="A924" s="353" t="s">
        <v>2626</v>
      </c>
      <c r="B924" s="375" t="s">
        <v>304</v>
      </c>
      <c r="C924" s="374" t="s">
        <v>2070</v>
      </c>
      <c r="D924" s="402"/>
      <c r="E924" s="343">
        <v>197861</v>
      </c>
      <c r="F924" s="343"/>
      <c r="G924" s="343"/>
      <c r="H924" s="343"/>
      <c r="I924" s="343"/>
      <c r="J924" s="343" t="s">
        <v>793</v>
      </c>
      <c r="K924" s="343" t="s">
        <v>793</v>
      </c>
      <c r="L924" s="343" t="s">
        <v>793</v>
      </c>
      <c r="M924" s="343" t="s">
        <v>2058</v>
      </c>
      <c r="N924" s="457">
        <v>21.131010060000001</v>
      </c>
      <c r="O924" s="457">
        <v>92.354011540000002</v>
      </c>
      <c r="P924" s="343"/>
      <c r="Q924" s="343"/>
      <c r="R924" s="356"/>
      <c r="S924" s="357"/>
      <c r="T924" s="346">
        <v>43300</v>
      </c>
      <c r="U924" s="345"/>
      <c r="V924" s="343"/>
      <c r="W924" s="353"/>
      <c r="X924" s="457"/>
      <c r="Y924" s="457"/>
      <c r="Z924" s="457"/>
    </row>
    <row r="925" spans="1:26" ht="14.25" customHeight="1">
      <c r="A925" s="409" t="s">
        <v>2626</v>
      </c>
      <c r="B925" s="410" t="s">
        <v>304</v>
      </c>
      <c r="C925" s="419" t="s">
        <v>2660</v>
      </c>
      <c r="D925" s="460"/>
      <c r="E925" s="411">
        <v>197841</v>
      </c>
      <c r="F925" s="411" t="s">
        <v>2660</v>
      </c>
      <c r="G925" s="411"/>
      <c r="H925" s="411"/>
      <c r="I925" s="411"/>
      <c r="J925" s="343" t="s">
        <v>793</v>
      </c>
      <c r="K925" s="343" t="s">
        <v>793</v>
      </c>
      <c r="L925" s="343" t="s">
        <v>793</v>
      </c>
      <c r="M925" s="411"/>
      <c r="N925" s="411">
        <v>21.2080974578857</v>
      </c>
      <c r="O925" s="411">
        <v>92.308609008789105</v>
      </c>
      <c r="P925" s="411"/>
      <c r="Q925" s="411" t="s">
        <v>2605</v>
      </c>
      <c r="R925" s="412"/>
      <c r="S925" s="409"/>
      <c r="T925" s="413">
        <v>43580</v>
      </c>
      <c r="U925" s="414" t="s">
        <v>2651</v>
      </c>
      <c r="V925" s="415"/>
      <c r="W925" s="461"/>
      <c r="X925" s="457"/>
      <c r="Y925" s="457"/>
      <c r="Z925" s="457"/>
    </row>
    <row r="926" spans="1:26" ht="14.25" customHeight="1">
      <c r="A926" s="353" t="s">
        <v>2626</v>
      </c>
      <c r="B926" s="375" t="s">
        <v>304</v>
      </c>
      <c r="C926" s="374" t="s">
        <v>2075</v>
      </c>
      <c r="D926" s="402"/>
      <c r="E926" s="343">
        <v>197842</v>
      </c>
      <c r="F926" s="457"/>
      <c r="G926" s="343"/>
      <c r="H926" s="343"/>
      <c r="I926" s="343"/>
      <c r="J926" s="343" t="s">
        <v>793</v>
      </c>
      <c r="K926" s="343" t="s">
        <v>793</v>
      </c>
      <c r="L926" s="343" t="s">
        <v>793</v>
      </c>
      <c r="M926" s="343" t="s">
        <v>2060</v>
      </c>
      <c r="N926" s="343">
        <v>21.210039139999999</v>
      </c>
      <c r="O926" s="343">
        <v>92.297286990000003</v>
      </c>
      <c r="P926" s="343"/>
      <c r="Q926" s="343"/>
      <c r="R926" s="356"/>
      <c r="S926" s="344"/>
      <c r="T926" s="346">
        <v>43300</v>
      </c>
      <c r="U926" s="345"/>
      <c r="V926" s="343"/>
      <c r="W926" s="353"/>
      <c r="X926" s="457"/>
      <c r="Y926" s="457"/>
      <c r="Z926" s="457"/>
    </row>
    <row r="927" spans="1:26" ht="14.25" customHeight="1">
      <c r="A927" s="353" t="s">
        <v>2626</v>
      </c>
      <c r="B927" s="375" t="s">
        <v>304</v>
      </c>
      <c r="C927" s="374" t="s">
        <v>681</v>
      </c>
      <c r="D927" s="402" t="s">
        <v>1635</v>
      </c>
      <c r="E927" s="343">
        <v>197867</v>
      </c>
      <c r="F927" s="343"/>
      <c r="G927" s="343"/>
      <c r="H927" s="343"/>
      <c r="I927" s="343"/>
      <c r="J927" s="343" t="s">
        <v>793</v>
      </c>
      <c r="K927" s="343" t="s">
        <v>793</v>
      </c>
      <c r="L927" s="343" t="s">
        <v>793</v>
      </c>
      <c r="M927" s="343" t="s">
        <v>790</v>
      </c>
      <c r="N927" s="343">
        <v>21.057630540000002</v>
      </c>
      <c r="O927" s="343">
        <v>92.340232850000007</v>
      </c>
      <c r="P927" s="343" t="s">
        <v>794</v>
      </c>
      <c r="Q927" s="343" t="s">
        <v>775</v>
      </c>
      <c r="R927" s="356"/>
      <c r="S927" s="357"/>
      <c r="T927" s="346"/>
      <c r="U927" s="345"/>
      <c r="V927" s="343" t="s">
        <v>681</v>
      </c>
      <c r="W927" s="353"/>
      <c r="X927" s="457"/>
      <c r="Y927" s="457"/>
      <c r="Z927" s="457"/>
    </row>
    <row r="928" spans="1:26" ht="14.25" customHeight="1">
      <c r="A928" s="457" t="s">
        <v>2626</v>
      </c>
      <c r="B928" s="479" t="s">
        <v>304</v>
      </c>
      <c r="C928" s="478" t="s">
        <v>672</v>
      </c>
      <c r="D928" s="402" t="s">
        <v>1635</v>
      </c>
      <c r="E928" s="459">
        <v>197893</v>
      </c>
      <c r="F928" s="457"/>
      <c r="G928" s="457"/>
      <c r="H928" s="457"/>
      <c r="I928" s="457"/>
      <c r="J928" s="343" t="s">
        <v>793</v>
      </c>
      <c r="K928" s="343" t="s">
        <v>793</v>
      </c>
      <c r="L928" s="343" t="s">
        <v>793</v>
      </c>
      <c r="M928" s="343" t="s">
        <v>293</v>
      </c>
      <c r="N928" s="343">
        <v>21.009420389999999</v>
      </c>
      <c r="O928" s="343">
        <v>92.318077090000003</v>
      </c>
      <c r="P928" s="343" t="s">
        <v>794</v>
      </c>
      <c r="Q928" s="457" t="s">
        <v>797</v>
      </c>
      <c r="R928" s="461"/>
      <c r="S928" s="462"/>
      <c r="T928" s="481">
        <v>42926</v>
      </c>
      <c r="U928" s="463" t="s">
        <v>798</v>
      </c>
      <c r="V928" s="343"/>
      <c r="W928" s="457"/>
      <c r="X928" s="457"/>
      <c r="Y928" s="457"/>
      <c r="Z928" s="457"/>
    </row>
    <row r="929" spans="1:26" ht="14.25" customHeight="1">
      <c r="A929" s="353" t="s">
        <v>2626</v>
      </c>
      <c r="B929" s="375" t="s">
        <v>304</v>
      </c>
      <c r="C929" s="374" t="s">
        <v>622</v>
      </c>
      <c r="D929" s="402" t="s">
        <v>1635</v>
      </c>
      <c r="E929" s="459">
        <v>197990</v>
      </c>
      <c r="F929" s="343"/>
      <c r="G929" s="343"/>
      <c r="H929" s="343"/>
      <c r="I929" s="343"/>
      <c r="J929" s="343" t="s">
        <v>793</v>
      </c>
      <c r="K929" s="343" t="s">
        <v>793</v>
      </c>
      <c r="L929" s="343" t="s">
        <v>793</v>
      </c>
      <c r="M929" s="343" t="s">
        <v>790</v>
      </c>
      <c r="N929" s="473">
        <v>20.824769969999998</v>
      </c>
      <c r="O929" s="473">
        <v>92.398788449999998</v>
      </c>
      <c r="P929" s="343" t="s">
        <v>794</v>
      </c>
      <c r="Q929" s="343" t="s">
        <v>775</v>
      </c>
      <c r="R929" s="356"/>
      <c r="S929" s="344"/>
      <c r="T929" s="346"/>
      <c r="U929" s="345"/>
      <c r="V929" s="343" t="s">
        <v>937</v>
      </c>
      <c r="W929" s="353"/>
      <c r="X929" s="457"/>
      <c r="Y929" s="457"/>
      <c r="Z929" s="457"/>
    </row>
    <row r="930" spans="1:26" ht="14.25" customHeight="1">
      <c r="A930" s="353" t="s">
        <v>2626</v>
      </c>
      <c r="B930" s="375" t="s">
        <v>304</v>
      </c>
      <c r="C930" s="374" t="s">
        <v>623</v>
      </c>
      <c r="D930" s="402" t="s">
        <v>1635</v>
      </c>
      <c r="E930" s="343">
        <v>197990</v>
      </c>
      <c r="F930" s="343"/>
      <c r="G930" s="343"/>
      <c r="H930" s="343"/>
      <c r="I930" s="343"/>
      <c r="J930" s="343" t="s">
        <v>793</v>
      </c>
      <c r="K930" s="343" t="s">
        <v>793</v>
      </c>
      <c r="L930" s="343" t="s">
        <v>793</v>
      </c>
      <c r="M930" s="343" t="s">
        <v>790</v>
      </c>
      <c r="N930" s="473">
        <v>20.824769969999998</v>
      </c>
      <c r="O930" s="473">
        <v>92.398788449999998</v>
      </c>
      <c r="P930" s="343" t="s">
        <v>794</v>
      </c>
      <c r="Q930" s="343" t="s">
        <v>775</v>
      </c>
      <c r="R930" s="356"/>
      <c r="S930" s="344"/>
      <c r="T930" s="346"/>
      <c r="U930" s="345"/>
      <c r="V930" s="343" t="s">
        <v>937</v>
      </c>
      <c r="W930" s="353"/>
      <c r="X930" s="457"/>
      <c r="Y930" s="457"/>
      <c r="Z930" s="457"/>
    </row>
    <row r="931" spans="1:26" ht="14.25" customHeight="1">
      <c r="A931" s="353" t="s">
        <v>2626</v>
      </c>
      <c r="B931" s="375" t="s">
        <v>304</v>
      </c>
      <c r="C931" s="374" t="s">
        <v>351</v>
      </c>
      <c r="D931" s="402" t="s">
        <v>1635</v>
      </c>
      <c r="E931" s="343"/>
      <c r="F931" s="343"/>
      <c r="G931" s="343"/>
      <c r="H931" s="343"/>
      <c r="I931" s="343"/>
      <c r="J931" s="343" t="s">
        <v>793</v>
      </c>
      <c r="K931" s="353" t="s">
        <v>793</v>
      </c>
      <c r="L931" s="343" t="s">
        <v>793</v>
      </c>
      <c r="M931" s="343" t="s">
        <v>790</v>
      </c>
      <c r="N931" s="473"/>
      <c r="O931" s="473"/>
      <c r="P931" s="343" t="s">
        <v>794</v>
      </c>
      <c r="Q931" s="343" t="s">
        <v>775</v>
      </c>
      <c r="R931" s="356"/>
      <c r="S931" s="357"/>
      <c r="T931" s="346"/>
      <c r="U931" s="345"/>
      <c r="V931" s="343" t="s">
        <v>351</v>
      </c>
      <c r="W931" s="353"/>
      <c r="X931" s="457"/>
      <c r="Y931" s="457"/>
      <c r="Z931" s="457"/>
    </row>
    <row r="932" spans="1:26" ht="14.25" customHeight="1">
      <c r="A932" s="353" t="s">
        <v>2626</v>
      </c>
      <c r="B932" s="375" t="s">
        <v>304</v>
      </c>
      <c r="C932" s="374" t="s">
        <v>352</v>
      </c>
      <c r="D932" s="402" t="s">
        <v>1635</v>
      </c>
      <c r="E932" s="343"/>
      <c r="F932" s="343"/>
      <c r="G932" s="343"/>
      <c r="H932" s="343"/>
      <c r="I932" s="343"/>
      <c r="J932" s="343" t="s">
        <v>793</v>
      </c>
      <c r="K932" s="353" t="s">
        <v>793</v>
      </c>
      <c r="L932" s="353" t="s">
        <v>793</v>
      </c>
      <c r="M932" s="343" t="s">
        <v>293</v>
      </c>
      <c r="N932" s="473"/>
      <c r="O932" s="473"/>
      <c r="P932" s="343" t="s">
        <v>794</v>
      </c>
      <c r="Q932" s="343" t="s">
        <v>775</v>
      </c>
      <c r="R932" s="356"/>
      <c r="S932" s="344"/>
      <c r="T932" s="346"/>
      <c r="U932" s="345"/>
      <c r="V932" s="343" t="s">
        <v>352</v>
      </c>
      <c r="W932" s="353"/>
      <c r="X932" s="457"/>
      <c r="Y932" s="457"/>
      <c r="Z932" s="457"/>
    </row>
    <row r="933" spans="1:26" ht="14.25" customHeight="1">
      <c r="A933" s="353" t="s">
        <v>2626</v>
      </c>
      <c r="B933" s="375" t="s">
        <v>304</v>
      </c>
      <c r="C933" s="374" t="s">
        <v>625</v>
      </c>
      <c r="D933" s="402" t="s">
        <v>1635</v>
      </c>
      <c r="E933" s="343" t="s">
        <v>1390</v>
      </c>
      <c r="F933" s="459"/>
      <c r="G933" s="343"/>
      <c r="H933" s="343" t="s">
        <v>41</v>
      </c>
      <c r="I933" s="343"/>
      <c r="J933" s="343" t="s">
        <v>793</v>
      </c>
      <c r="K933" s="343" t="s">
        <v>793</v>
      </c>
      <c r="L933" s="343" t="s">
        <v>1635</v>
      </c>
      <c r="M933" s="343" t="s">
        <v>790</v>
      </c>
      <c r="N933" s="473">
        <v>20.825306000000001</v>
      </c>
      <c r="O933" s="473">
        <v>92.367852999999997</v>
      </c>
      <c r="P933" s="343" t="s">
        <v>756</v>
      </c>
      <c r="Q933" s="343" t="s">
        <v>775</v>
      </c>
      <c r="R933" s="356"/>
      <c r="S933" s="357"/>
      <c r="T933" s="346">
        <v>43248</v>
      </c>
      <c r="U933" s="345" t="s">
        <v>1876</v>
      </c>
      <c r="V933" s="343"/>
      <c r="W933" s="353"/>
      <c r="X933" s="457"/>
      <c r="Y933" s="457"/>
      <c r="Z933" s="457"/>
    </row>
    <row r="934" spans="1:26" ht="14.25" customHeight="1">
      <c r="A934" s="353" t="s">
        <v>2626</v>
      </c>
      <c r="B934" s="375" t="s">
        <v>304</v>
      </c>
      <c r="C934" s="374" t="s">
        <v>610</v>
      </c>
      <c r="D934" s="402" t="s">
        <v>1635</v>
      </c>
      <c r="E934" s="343">
        <v>197996</v>
      </c>
      <c r="F934" s="487" t="s">
        <v>2033</v>
      </c>
      <c r="G934" s="343"/>
      <c r="H934" s="343"/>
      <c r="I934" s="343"/>
      <c r="J934" s="343" t="s">
        <v>793</v>
      </c>
      <c r="K934" s="343" t="s">
        <v>793</v>
      </c>
      <c r="L934" s="343" t="s">
        <v>793</v>
      </c>
      <c r="M934" s="343" t="s">
        <v>790</v>
      </c>
      <c r="N934" s="343">
        <v>20.805980680000001</v>
      </c>
      <c r="O934" s="343">
        <v>92.383308409999998</v>
      </c>
      <c r="P934" s="343" t="s">
        <v>794</v>
      </c>
      <c r="Q934" s="343" t="s">
        <v>775</v>
      </c>
      <c r="R934" s="356"/>
      <c r="S934" s="344"/>
      <c r="T934" s="346"/>
      <c r="U934" s="345"/>
      <c r="V934" s="343" t="s">
        <v>932</v>
      </c>
      <c r="W934" s="457"/>
      <c r="X934" s="457"/>
      <c r="Y934" s="457"/>
      <c r="Z934" s="457"/>
    </row>
    <row r="935" spans="1:26" ht="14.25" customHeight="1">
      <c r="A935" s="353" t="s">
        <v>2626</v>
      </c>
      <c r="B935" s="479" t="s">
        <v>304</v>
      </c>
      <c r="C935" s="478" t="s">
        <v>611</v>
      </c>
      <c r="D935" s="402" t="s">
        <v>1635</v>
      </c>
      <c r="E935" s="343">
        <v>197996</v>
      </c>
      <c r="F935" s="457"/>
      <c r="G935" s="343"/>
      <c r="H935" s="343"/>
      <c r="I935" s="343"/>
      <c r="J935" s="343" t="s">
        <v>793</v>
      </c>
      <c r="K935" s="343" t="s">
        <v>793</v>
      </c>
      <c r="L935" s="343" t="s">
        <v>793</v>
      </c>
      <c r="M935" s="343" t="s">
        <v>790</v>
      </c>
      <c r="N935" s="343">
        <v>20.805980680000001</v>
      </c>
      <c r="O935" s="343">
        <v>92.383308409999998</v>
      </c>
      <c r="P935" s="343" t="s">
        <v>794</v>
      </c>
      <c r="Q935" s="343" t="s">
        <v>775</v>
      </c>
      <c r="R935" s="461"/>
      <c r="S935" s="344"/>
      <c r="T935" s="346"/>
      <c r="U935" s="345"/>
      <c r="V935" s="343" t="s">
        <v>933</v>
      </c>
      <c r="W935" s="457"/>
      <c r="X935" s="457"/>
      <c r="Y935" s="457"/>
      <c r="Z935" s="457"/>
    </row>
    <row r="936" spans="1:26" ht="14.25" customHeight="1">
      <c r="A936" s="409" t="s">
        <v>2626</v>
      </c>
      <c r="B936" s="410" t="s">
        <v>304</v>
      </c>
      <c r="C936" s="419" t="s">
        <v>562</v>
      </c>
      <c r="D936" s="402" t="s">
        <v>1635</v>
      </c>
      <c r="E936" s="343">
        <v>198045</v>
      </c>
      <c r="F936" s="411"/>
      <c r="G936" s="411"/>
      <c r="H936" s="411"/>
      <c r="I936" s="411"/>
      <c r="J936" s="343" t="s">
        <v>793</v>
      </c>
      <c r="K936" s="343" t="s">
        <v>793</v>
      </c>
      <c r="L936" s="343" t="s">
        <v>793</v>
      </c>
      <c r="M936" s="343" t="s">
        <v>790</v>
      </c>
      <c r="N936" s="343">
        <v>20.71759033</v>
      </c>
      <c r="O936" s="343">
        <v>92.426422119999998</v>
      </c>
      <c r="P936" s="343" t="s">
        <v>794</v>
      </c>
      <c r="Q936" s="411" t="s">
        <v>2605</v>
      </c>
      <c r="R936" s="412"/>
      <c r="S936" s="409"/>
      <c r="T936" s="413">
        <v>43580</v>
      </c>
      <c r="U936" s="414" t="s">
        <v>2651</v>
      </c>
      <c r="V936" s="343" t="s">
        <v>562</v>
      </c>
      <c r="W936" s="356"/>
      <c r="X936" s="457"/>
      <c r="Y936" s="457"/>
      <c r="Z936" s="457"/>
    </row>
    <row r="937" spans="1:26" ht="14.25" customHeight="1">
      <c r="A937" s="353" t="s">
        <v>2626</v>
      </c>
      <c r="B937" s="375" t="s">
        <v>304</v>
      </c>
      <c r="C937" s="374" t="s">
        <v>2035</v>
      </c>
      <c r="D937" s="402"/>
      <c r="E937" s="353">
        <v>220744</v>
      </c>
      <c r="F937" s="343"/>
      <c r="G937" s="343"/>
      <c r="H937" s="343"/>
      <c r="I937" s="343"/>
      <c r="J937" s="343" t="s">
        <v>793</v>
      </c>
      <c r="K937" s="353" t="s">
        <v>793</v>
      </c>
      <c r="L937" s="353" t="s">
        <v>793</v>
      </c>
      <c r="M937" s="343" t="s">
        <v>293</v>
      </c>
      <c r="N937" s="343">
        <v>20.71612167</v>
      </c>
      <c r="O937" s="343">
        <v>92.442459110000001</v>
      </c>
      <c r="P937" s="343"/>
      <c r="Q937" s="343"/>
      <c r="R937" s="356"/>
      <c r="S937" s="344"/>
      <c r="T937" s="346">
        <v>43300</v>
      </c>
      <c r="U937" s="345"/>
      <c r="V937" s="343"/>
      <c r="W937" s="457"/>
      <c r="X937" s="457"/>
      <c r="Y937" s="457"/>
      <c r="Z937" s="457"/>
    </row>
    <row r="938" spans="1:26" ht="14.25" customHeight="1">
      <c r="A938" s="353" t="s">
        <v>2626</v>
      </c>
      <c r="B938" s="375" t="s">
        <v>304</v>
      </c>
      <c r="C938" s="374" t="s">
        <v>2036</v>
      </c>
      <c r="D938" s="402"/>
      <c r="E938" s="353"/>
      <c r="F938" s="353"/>
      <c r="G938" s="353"/>
      <c r="H938" s="343"/>
      <c r="I938" s="343"/>
      <c r="J938" s="343" t="s">
        <v>793</v>
      </c>
      <c r="K938" s="353" t="s">
        <v>793</v>
      </c>
      <c r="L938" s="353" t="s">
        <v>793</v>
      </c>
      <c r="M938" s="343" t="s">
        <v>2058</v>
      </c>
      <c r="N938" s="343"/>
      <c r="O938" s="353"/>
      <c r="P938" s="353"/>
      <c r="Q938" s="343"/>
      <c r="R938" s="461"/>
      <c r="S938" s="462"/>
      <c r="T938" s="346">
        <v>43300</v>
      </c>
      <c r="U938" s="358"/>
      <c r="V938" s="353"/>
      <c r="W938" s="457"/>
      <c r="X938" s="457"/>
      <c r="Y938" s="457"/>
      <c r="Z938" s="457"/>
    </row>
    <row r="939" spans="1:26" ht="14.25" customHeight="1">
      <c r="A939" s="353" t="s">
        <v>2626</v>
      </c>
      <c r="B939" s="375" t="s">
        <v>304</v>
      </c>
      <c r="C939" s="374" t="s">
        <v>903</v>
      </c>
      <c r="D939" s="402"/>
      <c r="E939" s="457">
        <v>197938</v>
      </c>
      <c r="F939" s="343"/>
      <c r="G939" s="343"/>
      <c r="H939" s="343"/>
      <c r="I939" s="343"/>
      <c r="J939" s="343" t="s">
        <v>793</v>
      </c>
      <c r="K939" s="343" t="s">
        <v>793</v>
      </c>
      <c r="L939" s="343" t="s">
        <v>793</v>
      </c>
      <c r="M939" s="343" t="s">
        <v>790</v>
      </c>
      <c r="N939" s="343">
        <v>20.84098053</v>
      </c>
      <c r="O939" s="343">
        <v>92.35720062</v>
      </c>
      <c r="P939" s="343"/>
      <c r="Q939" s="343"/>
      <c r="R939" s="356"/>
      <c r="S939" s="357"/>
      <c r="T939" s="346">
        <v>43300</v>
      </c>
      <c r="U939" s="345"/>
      <c r="V939" s="353"/>
      <c r="W939" s="457"/>
      <c r="X939" s="457"/>
      <c r="Y939" s="457"/>
      <c r="Z939" s="457"/>
    </row>
    <row r="940" spans="1:26" ht="14.25" customHeight="1">
      <c r="A940" s="457" t="s">
        <v>2626</v>
      </c>
      <c r="B940" s="479" t="s">
        <v>304</v>
      </c>
      <c r="C940" s="478" t="s">
        <v>669</v>
      </c>
      <c r="D940" s="402" t="s">
        <v>1635</v>
      </c>
      <c r="E940" s="343">
        <v>197903</v>
      </c>
      <c r="F940" s="343"/>
      <c r="G940" s="343"/>
      <c r="H940" s="343"/>
      <c r="I940" s="343"/>
      <c r="J940" s="343" t="s">
        <v>793</v>
      </c>
      <c r="K940" s="343" t="s">
        <v>793</v>
      </c>
      <c r="L940" s="343" t="s">
        <v>793</v>
      </c>
      <c r="M940" s="343" t="s">
        <v>790</v>
      </c>
      <c r="N940" s="353">
        <v>21.000970840000001</v>
      </c>
      <c r="O940" s="353">
        <v>92.334213259999999</v>
      </c>
      <c r="P940" s="343" t="s">
        <v>794</v>
      </c>
      <c r="Q940" s="343" t="s">
        <v>797</v>
      </c>
      <c r="R940" s="461"/>
      <c r="S940" s="344"/>
      <c r="T940" s="346">
        <v>42926</v>
      </c>
      <c r="U940" s="463" t="s">
        <v>798</v>
      </c>
      <c r="V940" s="478"/>
      <c r="W940" s="457"/>
      <c r="X940" s="457"/>
      <c r="Y940" s="457"/>
      <c r="Z940" s="457"/>
    </row>
    <row r="941" spans="1:26" ht="14.25" customHeight="1">
      <c r="A941" s="353" t="s">
        <v>2626</v>
      </c>
      <c r="B941" s="375" t="s">
        <v>304</v>
      </c>
      <c r="C941" s="374" t="s">
        <v>527</v>
      </c>
      <c r="D941" s="402" t="s">
        <v>1635</v>
      </c>
      <c r="E941" s="353">
        <v>198026</v>
      </c>
      <c r="F941" s="353"/>
      <c r="G941" s="353"/>
      <c r="H941" s="353"/>
      <c r="I941" s="353"/>
      <c r="J941" s="343" t="s">
        <v>793</v>
      </c>
      <c r="K941" s="353" t="s">
        <v>793</v>
      </c>
      <c r="L941" s="353" t="s">
        <v>793</v>
      </c>
      <c r="M941" s="343" t="s">
        <v>790</v>
      </c>
      <c r="N941" s="353">
        <v>20.671619419999999</v>
      </c>
      <c r="O941" s="353">
        <v>92.473846440000003</v>
      </c>
      <c r="P941" s="343" t="s">
        <v>794</v>
      </c>
      <c r="Q941" s="343" t="s">
        <v>775</v>
      </c>
      <c r="R941" s="356"/>
      <c r="S941" s="357"/>
      <c r="T941" s="346"/>
      <c r="U941" s="358"/>
      <c r="V941" s="353" t="s">
        <v>920</v>
      </c>
      <c r="W941" s="457"/>
      <c r="X941" s="457"/>
      <c r="Y941" s="457"/>
      <c r="Z941" s="457"/>
    </row>
    <row r="942" spans="1:26" ht="14.25" customHeight="1">
      <c r="A942" s="353" t="s">
        <v>2626</v>
      </c>
      <c r="B942" s="375" t="s">
        <v>336</v>
      </c>
      <c r="C942" s="374" t="s">
        <v>494</v>
      </c>
      <c r="D942" s="402" t="s">
        <v>1635</v>
      </c>
      <c r="E942" s="343">
        <v>197602</v>
      </c>
      <c r="F942" s="343"/>
      <c r="G942" s="343"/>
      <c r="H942" s="353"/>
      <c r="I942" s="343"/>
      <c r="J942" s="343" t="s">
        <v>793</v>
      </c>
      <c r="K942" s="343" t="s">
        <v>793</v>
      </c>
      <c r="L942" s="343" t="s">
        <v>793</v>
      </c>
      <c r="M942" s="343" t="s">
        <v>790</v>
      </c>
      <c r="N942" s="353">
        <v>20.547620770000002</v>
      </c>
      <c r="O942" s="353">
        <v>92.671058650000006</v>
      </c>
      <c r="P942" s="343" t="s">
        <v>794</v>
      </c>
      <c r="Q942" s="343" t="s">
        <v>775</v>
      </c>
      <c r="R942" s="356"/>
      <c r="S942" s="357"/>
      <c r="T942" s="346"/>
      <c r="U942" s="345"/>
      <c r="V942" s="343" t="s">
        <v>494</v>
      </c>
      <c r="W942" s="356"/>
      <c r="X942" s="457"/>
      <c r="Y942" s="457"/>
      <c r="Z942" s="457"/>
    </row>
    <row r="943" spans="1:26" ht="14.25" customHeight="1">
      <c r="A943" s="457" t="s">
        <v>2626</v>
      </c>
      <c r="B943" s="380" t="s">
        <v>336</v>
      </c>
      <c r="C943" s="381" t="s">
        <v>500</v>
      </c>
      <c r="D943" s="355" t="s">
        <v>1635</v>
      </c>
      <c r="E943" s="343" t="s">
        <v>1375</v>
      </c>
      <c r="F943" s="487"/>
      <c r="G943" s="343"/>
      <c r="H943" s="343" t="s">
        <v>41</v>
      </c>
      <c r="I943" s="343"/>
      <c r="J943" s="343" t="s">
        <v>793</v>
      </c>
      <c r="K943" s="343" t="s">
        <v>793</v>
      </c>
      <c r="L943" s="343" t="s">
        <v>1635</v>
      </c>
      <c r="M943" s="343" t="s">
        <v>790</v>
      </c>
      <c r="N943" s="343">
        <v>20.569219</v>
      </c>
      <c r="O943" s="343">
        <v>92.640022000000002</v>
      </c>
      <c r="P943" s="343" t="s">
        <v>756</v>
      </c>
      <c r="Q943" s="343" t="s">
        <v>775</v>
      </c>
      <c r="R943" s="364"/>
      <c r="S943" s="344"/>
      <c r="T943" s="346"/>
      <c r="U943" s="463"/>
      <c r="V943" s="343" t="s">
        <v>500</v>
      </c>
      <c r="W943" s="356"/>
      <c r="X943" s="457"/>
      <c r="Y943" s="457"/>
      <c r="Z943" s="457"/>
    </row>
    <row r="944" spans="1:26" ht="14.25" customHeight="1">
      <c r="A944" s="353" t="s">
        <v>2626</v>
      </c>
      <c r="B944" s="375" t="s">
        <v>336</v>
      </c>
      <c r="C944" s="374" t="s">
        <v>497</v>
      </c>
      <c r="D944" s="402" t="s">
        <v>1635</v>
      </c>
      <c r="E944" s="343">
        <v>197593</v>
      </c>
      <c r="F944" s="343"/>
      <c r="G944" s="343"/>
      <c r="H944" s="343"/>
      <c r="I944" s="343"/>
      <c r="J944" s="343" t="s">
        <v>793</v>
      </c>
      <c r="K944" s="343" t="s">
        <v>793</v>
      </c>
      <c r="L944" s="343" t="s">
        <v>793</v>
      </c>
      <c r="M944" s="343" t="s">
        <v>790</v>
      </c>
      <c r="N944" s="343">
        <v>20.555610659999999</v>
      </c>
      <c r="O944" s="343">
        <v>92.643516539999993</v>
      </c>
      <c r="P944" s="343" t="s">
        <v>794</v>
      </c>
      <c r="Q944" s="343" t="s">
        <v>797</v>
      </c>
      <c r="R944" s="356"/>
      <c r="S944" s="344"/>
      <c r="T944" s="346">
        <v>42926</v>
      </c>
      <c r="U944" s="345" t="s">
        <v>798</v>
      </c>
      <c r="V944" s="343"/>
      <c r="W944" s="356"/>
      <c r="X944" s="457"/>
      <c r="Y944" s="457"/>
      <c r="Z944" s="457"/>
    </row>
    <row r="945" spans="1:26" ht="14.25" customHeight="1">
      <c r="A945" s="353" t="s">
        <v>2626</v>
      </c>
      <c r="B945" s="375" t="s">
        <v>336</v>
      </c>
      <c r="C945" s="374" t="s">
        <v>498</v>
      </c>
      <c r="D945" s="402" t="s">
        <v>1635</v>
      </c>
      <c r="E945" s="343">
        <v>197593</v>
      </c>
      <c r="F945" s="343"/>
      <c r="G945" s="343"/>
      <c r="H945" s="343"/>
      <c r="I945" s="353"/>
      <c r="J945" s="343" t="s">
        <v>793</v>
      </c>
      <c r="K945" s="343" t="s">
        <v>793</v>
      </c>
      <c r="L945" s="343" t="s">
        <v>793</v>
      </c>
      <c r="M945" s="343" t="s">
        <v>293</v>
      </c>
      <c r="N945" s="353">
        <v>20.555610659999999</v>
      </c>
      <c r="O945" s="353">
        <v>92.643516539999993</v>
      </c>
      <c r="P945" s="343" t="s">
        <v>794</v>
      </c>
      <c r="Q945" s="343" t="s">
        <v>775</v>
      </c>
      <c r="R945" s="356"/>
      <c r="S945" s="357"/>
      <c r="T945" s="346" t="s">
        <v>800</v>
      </c>
      <c r="U945" s="345"/>
      <c r="V945" s="343"/>
      <c r="W945" s="356"/>
      <c r="X945" s="457"/>
      <c r="Y945" s="457"/>
      <c r="Z945" s="457"/>
    </row>
    <row r="946" spans="1:26" ht="14.25" customHeight="1">
      <c r="A946" s="353" t="s">
        <v>2626</v>
      </c>
      <c r="B946" s="375" t="s">
        <v>336</v>
      </c>
      <c r="C946" s="374" t="s">
        <v>519</v>
      </c>
      <c r="D946" s="402" t="s">
        <v>1635</v>
      </c>
      <c r="E946" s="343">
        <v>197691</v>
      </c>
      <c r="F946" s="343"/>
      <c r="G946" s="343"/>
      <c r="H946" s="343"/>
      <c r="I946" s="343"/>
      <c r="J946" s="353" t="s">
        <v>793</v>
      </c>
      <c r="K946" s="343" t="s">
        <v>793</v>
      </c>
      <c r="L946" s="343" t="s">
        <v>793</v>
      </c>
      <c r="M946" s="343" t="s">
        <v>293</v>
      </c>
      <c r="N946" s="343">
        <v>20.65517998</v>
      </c>
      <c r="O946" s="343">
        <v>92.720321659999996</v>
      </c>
      <c r="P946" s="343" t="s">
        <v>794</v>
      </c>
      <c r="Q946" s="343" t="s">
        <v>775</v>
      </c>
      <c r="R946" s="465"/>
      <c r="S946" s="466"/>
      <c r="T946" s="346" t="s">
        <v>800</v>
      </c>
      <c r="U946" s="345"/>
      <c r="V946" s="343"/>
      <c r="W946" s="356"/>
      <c r="X946" s="457"/>
      <c r="Y946" s="457"/>
      <c r="Z946" s="457"/>
    </row>
    <row r="947" spans="1:26" ht="14.25" customHeight="1">
      <c r="A947" s="353" t="s">
        <v>2626</v>
      </c>
      <c r="B947" s="375" t="s">
        <v>336</v>
      </c>
      <c r="C947" s="374" t="s">
        <v>465</v>
      </c>
      <c r="D947" s="402" t="s">
        <v>2274</v>
      </c>
      <c r="E947" s="459" t="s">
        <v>1367</v>
      </c>
      <c r="F947" s="343" t="s">
        <v>465</v>
      </c>
      <c r="G947" s="343" t="s">
        <v>465</v>
      </c>
      <c r="H947" s="343"/>
      <c r="I947" s="343"/>
      <c r="J947" s="353" t="s">
        <v>793</v>
      </c>
      <c r="K947" s="343" t="s">
        <v>793</v>
      </c>
      <c r="L947" s="343" t="s">
        <v>878</v>
      </c>
      <c r="M947" s="343" t="s">
        <v>790</v>
      </c>
      <c r="N947" s="343">
        <v>20.399269</v>
      </c>
      <c r="O947" s="343">
        <v>92.781294000000003</v>
      </c>
      <c r="P947" s="343" t="s">
        <v>794</v>
      </c>
      <c r="Q947" s="343" t="s">
        <v>775</v>
      </c>
      <c r="R947" s="356"/>
      <c r="S947" s="357"/>
      <c r="T947" s="346"/>
      <c r="U947" s="345"/>
      <c r="V947" s="343" t="s">
        <v>465</v>
      </c>
      <c r="W947" s="356"/>
      <c r="X947" s="457"/>
      <c r="Y947" s="457"/>
      <c r="Z947" s="457"/>
    </row>
    <row r="948" spans="1:26" ht="14.25" customHeight="1">
      <c r="A948" s="465" t="s">
        <v>2626</v>
      </c>
      <c r="B948" s="489" t="s">
        <v>336</v>
      </c>
      <c r="C948" s="490" t="s">
        <v>2782</v>
      </c>
      <c r="D948" s="460"/>
      <c r="E948" s="343" t="s">
        <v>2783</v>
      </c>
      <c r="F948" s="343"/>
      <c r="G948" s="343"/>
      <c r="H948" s="343"/>
      <c r="I948" s="353"/>
      <c r="J948" s="343" t="s">
        <v>2632</v>
      </c>
      <c r="K948" s="343" t="s">
        <v>2600</v>
      </c>
      <c r="L948" s="343" t="s">
        <v>2600</v>
      </c>
      <c r="M948" s="343"/>
      <c r="N948" s="353"/>
      <c r="O948" s="353"/>
      <c r="P948" s="343"/>
      <c r="Q948" s="343"/>
      <c r="R948" s="469"/>
      <c r="S948" s="357"/>
      <c r="T948" s="346">
        <v>43591</v>
      </c>
      <c r="U948" s="469"/>
      <c r="V948" s="466" t="s">
        <v>2747</v>
      </c>
      <c r="W948" s="356"/>
      <c r="X948" s="457"/>
      <c r="Y948" s="457"/>
      <c r="Z948" s="457"/>
    </row>
    <row r="949" spans="1:26" ht="14.25" customHeight="1">
      <c r="A949" s="353" t="s">
        <v>2626</v>
      </c>
      <c r="B949" s="375" t="s">
        <v>336</v>
      </c>
      <c r="C949" s="374" t="s">
        <v>534</v>
      </c>
      <c r="D949" s="402" t="s">
        <v>1635</v>
      </c>
      <c r="E949" s="343">
        <v>197674</v>
      </c>
      <c r="F949" s="343"/>
      <c r="G949" s="343"/>
      <c r="H949" s="353"/>
      <c r="I949" s="353"/>
      <c r="J949" s="343" t="s">
        <v>793</v>
      </c>
      <c r="K949" s="353" t="s">
        <v>793</v>
      </c>
      <c r="L949" s="353" t="s">
        <v>793</v>
      </c>
      <c r="M949" s="343" t="s">
        <v>790</v>
      </c>
      <c r="N949" s="353">
        <v>20.67845917</v>
      </c>
      <c r="O949" s="353">
        <v>92.663757320000002</v>
      </c>
      <c r="P949" s="343" t="s">
        <v>794</v>
      </c>
      <c r="Q949" s="343" t="s">
        <v>775</v>
      </c>
      <c r="R949" s="356"/>
      <c r="S949" s="357"/>
      <c r="T949" s="346" t="s">
        <v>800</v>
      </c>
      <c r="U949" s="345"/>
      <c r="V949" s="343"/>
      <c r="W949" s="356"/>
      <c r="X949" s="457"/>
      <c r="Y949" s="457"/>
      <c r="Z949" s="457"/>
    </row>
    <row r="950" spans="1:26" ht="14.25" customHeight="1">
      <c r="A950" s="353" t="s">
        <v>2626</v>
      </c>
      <c r="B950" s="479" t="s">
        <v>336</v>
      </c>
      <c r="C950" s="478" t="s">
        <v>902</v>
      </c>
      <c r="D950" s="402" t="s">
        <v>1635</v>
      </c>
      <c r="E950" s="457">
        <v>197603</v>
      </c>
      <c r="F950" s="457"/>
      <c r="G950" s="457"/>
      <c r="H950" s="457"/>
      <c r="I950" s="457"/>
      <c r="J950" s="343" t="s">
        <v>793</v>
      </c>
      <c r="K950" s="343" t="s">
        <v>793</v>
      </c>
      <c r="L950" s="343" t="s">
        <v>793</v>
      </c>
      <c r="M950" s="457" t="s">
        <v>790</v>
      </c>
      <c r="N950" s="457">
        <v>20.55364037</v>
      </c>
      <c r="O950" s="457">
        <v>92.674217220000003</v>
      </c>
      <c r="P950" s="343" t="s">
        <v>794</v>
      </c>
      <c r="Q950" s="457"/>
      <c r="R950" s="461"/>
      <c r="S950" s="462"/>
      <c r="T950" s="481"/>
      <c r="U950" s="463"/>
      <c r="V950" s="457" t="s">
        <v>902</v>
      </c>
      <c r="W950" s="356"/>
      <c r="X950" s="457"/>
      <c r="Y950" s="457"/>
      <c r="Z950" s="457"/>
    </row>
    <row r="951" spans="1:26" ht="14.25" customHeight="1">
      <c r="A951" s="353" t="s">
        <v>2626</v>
      </c>
      <c r="B951" s="479" t="s">
        <v>336</v>
      </c>
      <c r="C951" s="478" t="s">
        <v>369</v>
      </c>
      <c r="D951" s="402" t="s">
        <v>1635</v>
      </c>
      <c r="E951" s="343">
        <v>220977</v>
      </c>
      <c r="F951" s="343" t="s">
        <v>2673</v>
      </c>
      <c r="G951" s="343"/>
      <c r="H951" s="343"/>
      <c r="I951" s="343"/>
      <c r="J951" s="343" t="s">
        <v>793</v>
      </c>
      <c r="K951" s="343" t="s">
        <v>793</v>
      </c>
      <c r="L951" s="343" t="s">
        <v>793</v>
      </c>
      <c r="M951" s="343" t="s">
        <v>293</v>
      </c>
      <c r="N951" s="343"/>
      <c r="O951" s="457"/>
      <c r="P951" s="343" t="s">
        <v>794</v>
      </c>
      <c r="Q951" s="343" t="s">
        <v>797</v>
      </c>
      <c r="R951" s="461"/>
      <c r="S951" s="357"/>
      <c r="T951" s="346">
        <v>42926</v>
      </c>
      <c r="U951" s="345" t="s">
        <v>798</v>
      </c>
      <c r="V951" s="343"/>
      <c r="W951" s="356"/>
      <c r="X951" s="457"/>
      <c r="Y951" s="457"/>
      <c r="Z951" s="457"/>
    </row>
    <row r="952" spans="1:26" ht="14.25" customHeight="1">
      <c r="A952" s="465" t="s">
        <v>2626</v>
      </c>
      <c r="B952" s="380" t="s">
        <v>336</v>
      </c>
      <c r="C952" s="381" t="s">
        <v>2781</v>
      </c>
      <c r="D952" s="355"/>
      <c r="E952" s="343">
        <v>220693</v>
      </c>
      <c r="F952" s="343"/>
      <c r="G952" s="343"/>
      <c r="H952" s="353"/>
      <c r="I952" s="353"/>
      <c r="J952" s="343" t="s">
        <v>2632</v>
      </c>
      <c r="K952" s="343" t="s">
        <v>2600</v>
      </c>
      <c r="L952" s="343" t="s">
        <v>2600</v>
      </c>
      <c r="M952" s="343"/>
      <c r="N952" s="353">
        <v>20.586620330810501</v>
      </c>
      <c r="O952" s="353">
        <v>92.689620971679702</v>
      </c>
      <c r="P952" s="343"/>
      <c r="Q952" s="343"/>
      <c r="R952" s="364"/>
      <c r="S952" s="357"/>
      <c r="T952" s="346">
        <v>43591</v>
      </c>
      <c r="U952" s="469"/>
      <c r="V952" s="343" t="s">
        <v>2746</v>
      </c>
      <c r="W952" s="356"/>
      <c r="X952" s="457"/>
      <c r="Y952" s="457"/>
      <c r="Z952" s="457"/>
    </row>
    <row r="953" spans="1:26" ht="14.25" customHeight="1">
      <c r="A953" s="353" t="s">
        <v>2626</v>
      </c>
      <c r="B953" s="375" t="s">
        <v>336</v>
      </c>
      <c r="C953" s="374" t="s">
        <v>477</v>
      </c>
      <c r="D953" s="402" t="s">
        <v>1635</v>
      </c>
      <c r="E953" s="343">
        <v>197631</v>
      </c>
      <c r="F953" s="343" t="s">
        <v>472</v>
      </c>
      <c r="G953" s="343"/>
      <c r="H953" s="353"/>
      <c r="I953" s="353"/>
      <c r="J953" s="343" t="s">
        <v>793</v>
      </c>
      <c r="K953" s="343" t="s">
        <v>793</v>
      </c>
      <c r="L953" s="343" t="s">
        <v>793</v>
      </c>
      <c r="M953" s="343" t="s">
        <v>293</v>
      </c>
      <c r="N953" s="353">
        <v>20.473930360000001</v>
      </c>
      <c r="O953" s="353">
        <v>92.668853760000005</v>
      </c>
      <c r="P953" s="343" t="s">
        <v>794</v>
      </c>
      <c r="Q953" s="343" t="s">
        <v>797</v>
      </c>
      <c r="R953" s="461"/>
      <c r="S953" s="462"/>
      <c r="T953" s="346">
        <v>42926</v>
      </c>
      <c r="U953" s="345" t="s">
        <v>798</v>
      </c>
      <c r="V953" s="343"/>
      <c r="W953" s="356"/>
      <c r="X953" s="457"/>
      <c r="Y953" s="457"/>
      <c r="Z953" s="457"/>
    </row>
    <row r="954" spans="1:26" ht="14.25" customHeight="1">
      <c r="A954" s="353" t="s">
        <v>2626</v>
      </c>
      <c r="B954" s="375" t="s">
        <v>336</v>
      </c>
      <c r="C954" s="374" t="s">
        <v>493</v>
      </c>
      <c r="D954" s="402" t="s">
        <v>1635</v>
      </c>
      <c r="E954" s="353">
        <v>197601</v>
      </c>
      <c r="F954" s="457"/>
      <c r="G954" s="343"/>
      <c r="H954" s="353"/>
      <c r="I954" s="343"/>
      <c r="J954" s="343" t="s">
        <v>793</v>
      </c>
      <c r="K954" s="343" t="s">
        <v>793</v>
      </c>
      <c r="L954" s="343" t="s">
        <v>793</v>
      </c>
      <c r="M954" s="343" t="s">
        <v>790</v>
      </c>
      <c r="N954" s="353">
        <v>20.54644012</v>
      </c>
      <c r="O954" s="353">
        <v>92.648399350000005</v>
      </c>
      <c r="P954" s="343" t="s">
        <v>794</v>
      </c>
      <c r="Q954" s="343" t="s">
        <v>775</v>
      </c>
      <c r="R954" s="461"/>
      <c r="S954" s="462"/>
      <c r="T954" s="346"/>
      <c r="U954" s="345"/>
      <c r="V954" s="343" t="s">
        <v>493</v>
      </c>
      <c r="W954" s="356"/>
      <c r="X954" s="457"/>
      <c r="Y954" s="457"/>
      <c r="Z954" s="457"/>
    </row>
    <row r="955" spans="1:26" ht="14.25" customHeight="1">
      <c r="A955" s="353" t="s">
        <v>2626</v>
      </c>
      <c r="B955" s="375" t="s">
        <v>336</v>
      </c>
      <c r="C955" s="374" t="s">
        <v>466</v>
      </c>
      <c r="D955" s="402" t="s">
        <v>1635</v>
      </c>
      <c r="E955" s="343" t="s">
        <v>1369</v>
      </c>
      <c r="F955" s="343"/>
      <c r="G955" s="343"/>
      <c r="H955" s="343" t="s">
        <v>41</v>
      </c>
      <c r="I955" s="343"/>
      <c r="J955" s="343" t="s">
        <v>793</v>
      </c>
      <c r="K955" s="343" t="s">
        <v>793</v>
      </c>
      <c r="L955" s="343" t="s">
        <v>1635</v>
      </c>
      <c r="M955" s="343" t="s">
        <v>790</v>
      </c>
      <c r="N955" s="343">
        <v>20.408453000000002</v>
      </c>
      <c r="O955" s="343">
        <v>92.660360999999995</v>
      </c>
      <c r="P955" s="343" t="s">
        <v>756</v>
      </c>
      <c r="Q955" s="343" t="s">
        <v>775</v>
      </c>
      <c r="R955" s="356"/>
      <c r="S955" s="462"/>
      <c r="T955" s="346"/>
      <c r="U955" s="345" t="s">
        <v>1876</v>
      </c>
      <c r="V955" s="343" t="s">
        <v>466</v>
      </c>
      <c r="W955" s="356"/>
      <c r="X955" s="457"/>
      <c r="Y955" s="457"/>
      <c r="Z955" s="457"/>
    </row>
    <row r="956" spans="1:26" ht="14.25" customHeight="1">
      <c r="A956" s="353" t="s">
        <v>2626</v>
      </c>
      <c r="B956" s="375" t="s">
        <v>336</v>
      </c>
      <c r="C956" s="374" t="s">
        <v>887</v>
      </c>
      <c r="D956" s="402" t="s">
        <v>1635</v>
      </c>
      <c r="E956" s="343">
        <v>197650</v>
      </c>
      <c r="F956" s="343"/>
      <c r="G956" s="343"/>
      <c r="H956" s="353"/>
      <c r="I956" s="353"/>
      <c r="J956" s="343" t="s">
        <v>874</v>
      </c>
      <c r="K956" s="343" t="s">
        <v>793</v>
      </c>
      <c r="L956" s="343" t="s">
        <v>793</v>
      </c>
      <c r="M956" s="343" t="s">
        <v>293</v>
      </c>
      <c r="N956" s="353">
        <v>20.397039410000001</v>
      </c>
      <c r="O956" s="353">
        <v>92.664451600000007</v>
      </c>
      <c r="P956" s="343" t="s">
        <v>794</v>
      </c>
      <c r="Q956" s="343"/>
      <c r="R956" s="461"/>
      <c r="S956" s="462"/>
      <c r="T956" s="346">
        <v>42849</v>
      </c>
      <c r="U956" s="345" t="s">
        <v>888</v>
      </c>
      <c r="V956" s="353"/>
      <c r="W956" s="356"/>
      <c r="X956" s="457"/>
      <c r="Y956" s="457"/>
      <c r="Z956" s="457"/>
    </row>
    <row r="957" spans="1:26" ht="14.25" customHeight="1">
      <c r="A957" s="353" t="s">
        <v>2626</v>
      </c>
      <c r="B957" s="375" t="s">
        <v>336</v>
      </c>
      <c r="C957" s="374" t="s">
        <v>502</v>
      </c>
      <c r="D957" s="402" t="s">
        <v>1635</v>
      </c>
      <c r="E957" s="343">
        <v>197591</v>
      </c>
      <c r="F957" s="343"/>
      <c r="G957" s="343"/>
      <c r="H957" s="343"/>
      <c r="I957" s="353"/>
      <c r="J957" s="343" t="s">
        <v>793</v>
      </c>
      <c r="K957" s="343" t="s">
        <v>793</v>
      </c>
      <c r="L957" s="343" t="s">
        <v>793</v>
      </c>
      <c r="M957" s="343" t="s">
        <v>790</v>
      </c>
      <c r="N957" s="353">
        <v>20.581470490000001</v>
      </c>
      <c r="O957" s="353">
        <v>92.643272400000001</v>
      </c>
      <c r="P957" s="343" t="s">
        <v>794</v>
      </c>
      <c r="Q957" s="343" t="s">
        <v>775</v>
      </c>
      <c r="R957" s="461"/>
      <c r="S957" s="462"/>
      <c r="T957" s="346"/>
      <c r="U957" s="345" t="s">
        <v>798</v>
      </c>
      <c r="V957" s="343" t="s">
        <v>502</v>
      </c>
      <c r="W957" s="356"/>
      <c r="X957" s="457"/>
      <c r="Y957" s="457"/>
      <c r="Z957" s="457"/>
    </row>
    <row r="958" spans="1:26" ht="14.25" customHeight="1">
      <c r="A958" s="353" t="s">
        <v>2626</v>
      </c>
      <c r="B958" s="158" t="s">
        <v>336</v>
      </c>
      <c r="C958" s="159" t="s">
        <v>1092</v>
      </c>
      <c r="D958" s="460" t="s">
        <v>1635</v>
      </c>
      <c r="E958" s="153"/>
      <c r="F958" s="153"/>
      <c r="G958" s="153"/>
      <c r="H958" s="153"/>
      <c r="I958" s="153"/>
      <c r="J958" s="343" t="s">
        <v>793</v>
      </c>
      <c r="K958" s="343" t="s">
        <v>793</v>
      </c>
      <c r="L958" s="343" t="s">
        <v>793</v>
      </c>
      <c r="M958" s="153" t="s">
        <v>806</v>
      </c>
      <c r="N958" s="153"/>
      <c r="O958" s="153"/>
      <c r="P958" s="343" t="s">
        <v>794</v>
      </c>
      <c r="Q958" s="153" t="s">
        <v>797</v>
      </c>
      <c r="R958" s="154"/>
      <c r="S958" s="152"/>
      <c r="T958" s="155">
        <v>42926</v>
      </c>
      <c r="U958" s="156" t="s">
        <v>798</v>
      </c>
      <c r="V958" s="153"/>
      <c r="W958" s="356"/>
      <c r="X958" s="457"/>
      <c r="Y958" s="457"/>
      <c r="Z958" s="457"/>
    </row>
    <row r="959" spans="1:26" ht="14.25" customHeight="1">
      <c r="A959" s="353" t="s">
        <v>2626</v>
      </c>
      <c r="B959" s="489" t="s">
        <v>336</v>
      </c>
      <c r="C959" s="490" t="s">
        <v>501</v>
      </c>
      <c r="D959" s="460" t="s">
        <v>1635</v>
      </c>
      <c r="E959" s="343">
        <v>197590</v>
      </c>
      <c r="F959" s="343"/>
      <c r="G959" s="343"/>
      <c r="H959" s="343"/>
      <c r="I959" s="457"/>
      <c r="J959" s="343" t="s">
        <v>793</v>
      </c>
      <c r="K959" s="343" t="s">
        <v>793</v>
      </c>
      <c r="L959" s="457" t="s">
        <v>793</v>
      </c>
      <c r="M959" s="343" t="s">
        <v>293</v>
      </c>
      <c r="N959" s="353">
        <v>20.56975937</v>
      </c>
      <c r="O959" s="488">
        <v>92.641799930000005</v>
      </c>
      <c r="P959" s="343" t="s">
        <v>794</v>
      </c>
      <c r="Q959" s="343" t="s">
        <v>775</v>
      </c>
      <c r="R959" s="469"/>
      <c r="S959" s="462"/>
      <c r="T959" s="346"/>
      <c r="U959" s="345" t="s">
        <v>798</v>
      </c>
      <c r="V959" s="343" t="s">
        <v>501</v>
      </c>
      <c r="W959" s="461"/>
      <c r="X959" s="457"/>
      <c r="Y959" s="457"/>
      <c r="Z959" s="457"/>
    </row>
    <row r="960" spans="1:26" ht="14.25" customHeight="1">
      <c r="A960" s="353" t="s">
        <v>2626</v>
      </c>
      <c r="B960" s="489" t="s">
        <v>336</v>
      </c>
      <c r="C960" s="490" t="s">
        <v>908</v>
      </c>
      <c r="D960" s="460" t="s">
        <v>1635</v>
      </c>
      <c r="E960" s="457">
        <v>197585</v>
      </c>
      <c r="F960" s="457"/>
      <c r="G960" s="457"/>
      <c r="H960" s="457"/>
      <c r="I960" s="457"/>
      <c r="J960" s="457" t="s">
        <v>793</v>
      </c>
      <c r="K960" s="457" t="s">
        <v>793</v>
      </c>
      <c r="L960" s="457" t="s">
        <v>793</v>
      </c>
      <c r="M960" s="457" t="s">
        <v>293</v>
      </c>
      <c r="N960" s="457">
        <v>20.585840229999999</v>
      </c>
      <c r="O960" s="457">
        <v>92.670722960000006</v>
      </c>
      <c r="P960" s="457" t="s">
        <v>794</v>
      </c>
      <c r="Q960" s="457"/>
      <c r="R960" s="469"/>
      <c r="S960" s="462"/>
      <c r="T960" s="481"/>
      <c r="U960" s="463"/>
      <c r="V960" s="457" t="s">
        <v>908</v>
      </c>
      <c r="W960" s="461"/>
      <c r="X960" s="457"/>
      <c r="Y960" s="457"/>
      <c r="Z960" s="457"/>
    </row>
    <row r="961" spans="1:26" ht="14.25" customHeight="1">
      <c r="A961" s="465" t="s">
        <v>2626</v>
      </c>
      <c r="B961" s="489" t="s">
        <v>336</v>
      </c>
      <c r="C961" s="490" t="s">
        <v>2780</v>
      </c>
      <c r="D961" s="460"/>
      <c r="E961" s="343">
        <v>197581</v>
      </c>
      <c r="F961" s="343"/>
      <c r="G961" s="343"/>
      <c r="H961" s="353"/>
      <c r="I961" s="353"/>
      <c r="J961" s="343" t="s">
        <v>2632</v>
      </c>
      <c r="K961" s="343" t="s">
        <v>2600</v>
      </c>
      <c r="L961" s="343" t="s">
        <v>2600</v>
      </c>
      <c r="M961" s="343"/>
      <c r="N961" s="353">
        <v>20.631229400634801</v>
      </c>
      <c r="O961" s="353">
        <v>92.641532897949205</v>
      </c>
      <c r="P961" s="343"/>
      <c r="Q961" s="343"/>
      <c r="R961" s="469"/>
      <c r="S961" s="462"/>
      <c r="T961" s="346">
        <v>43591</v>
      </c>
      <c r="U961" s="469"/>
      <c r="V961" s="343" t="s">
        <v>2745</v>
      </c>
      <c r="W961" s="356"/>
      <c r="X961" s="457"/>
      <c r="Y961" s="457"/>
      <c r="Z961" s="457"/>
    </row>
    <row r="962" spans="1:26" ht="14.25" customHeight="1">
      <c r="A962" s="353" t="s">
        <v>2626</v>
      </c>
      <c r="B962" s="375" t="s">
        <v>336</v>
      </c>
      <c r="C962" s="374" t="s">
        <v>577</v>
      </c>
      <c r="D962" s="460" t="s">
        <v>1635</v>
      </c>
      <c r="E962" s="343">
        <v>197616</v>
      </c>
      <c r="F962" s="343" t="s">
        <v>481</v>
      </c>
      <c r="G962" s="343"/>
      <c r="H962" s="353"/>
      <c r="I962" s="353"/>
      <c r="J962" s="343" t="s">
        <v>793</v>
      </c>
      <c r="K962" s="343" t="s">
        <v>793</v>
      </c>
      <c r="L962" s="343" t="s">
        <v>793</v>
      </c>
      <c r="M962" s="343" t="s">
        <v>293</v>
      </c>
      <c r="N962" s="353">
        <v>20.495670319999999</v>
      </c>
      <c r="O962" s="353">
        <v>92.651496890000004</v>
      </c>
      <c r="P962" s="343" t="s">
        <v>794</v>
      </c>
      <c r="Q962" s="343" t="s">
        <v>797</v>
      </c>
      <c r="R962" s="459"/>
      <c r="S962" s="466"/>
      <c r="T962" s="346">
        <v>42926</v>
      </c>
      <c r="U962" s="345" t="s">
        <v>798</v>
      </c>
      <c r="V962" s="343"/>
      <c r="W962" s="356"/>
      <c r="X962" s="457"/>
      <c r="Y962" s="457"/>
      <c r="Z962" s="457"/>
    </row>
    <row r="963" spans="1:26" ht="14.25" customHeight="1">
      <c r="A963" s="353" t="s">
        <v>2626</v>
      </c>
      <c r="B963" s="375" t="s">
        <v>336</v>
      </c>
      <c r="C963" s="374" t="s">
        <v>536</v>
      </c>
      <c r="D963" s="402" t="s">
        <v>1635</v>
      </c>
      <c r="E963" s="343">
        <v>197670</v>
      </c>
      <c r="F963" s="354"/>
      <c r="G963" s="343"/>
      <c r="H963" s="343"/>
      <c r="I963" s="353"/>
      <c r="J963" s="343" t="s">
        <v>793</v>
      </c>
      <c r="K963" s="343" t="s">
        <v>793</v>
      </c>
      <c r="L963" s="343" t="s">
        <v>793</v>
      </c>
      <c r="M963" s="343" t="s">
        <v>790</v>
      </c>
      <c r="N963" s="353">
        <v>20.6833992</v>
      </c>
      <c r="O963" s="353">
        <v>92.656608579999997</v>
      </c>
      <c r="P963" s="343" t="s">
        <v>794</v>
      </c>
      <c r="Q963" s="343" t="s">
        <v>775</v>
      </c>
      <c r="R963" s="465"/>
      <c r="S963" s="466"/>
      <c r="T963" s="346" t="s">
        <v>800</v>
      </c>
      <c r="U963" s="345"/>
      <c r="V963" s="343"/>
      <c r="W963" s="356"/>
      <c r="X963" s="457"/>
      <c r="Y963" s="457"/>
      <c r="Z963" s="457"/>
    </row>
    <row r="964" spans="1:26" ht="14.25" customHeight="1">
      <c r="A964" s="353" t="s">
        <v>2626</v>
      </c>
      <c r="B964" s="375" t="s">
        <v>336</v>
      </c>
      <c r="C964" s="374" t="s">
        <v>468</v>
      </c>
      <c r="D964" s="402" t="s">
        <v>1635</v>
      </c>
      <c r="E964" s="343" t="s">
        <v>1371</v>
      </c>
      <c r="F964" s="343"/>
      <c r="G964" s="343"/>
      <c r="H964" s="353" t="s">
        <v>41</v>
      </c>
      <c r="I964" s="353"/>
      <c r="J964" s="343" t="s">
        <v>793</v>
      </c>
      <c r="K964" s="343" t="s">
        <v>793</v>
      </c>
      <c r="L964" s="343" t="s">
        <v>1635</v>
      </c>
      <c r="M964" s="343" t="s">
        <v>790</v>
      </c>
      <c r="N964" s="353">
        <v>20.447261000000001</v>
      </c>
      <c r="O964" s="353">
        <v>92.639589000000001</v>
      </c>
      <c r="P964" s="343" t="s">
        <v>756</v>
      </c>
      <c r="Q964" s="343" t="s">
        <v>775</v>
      </c>
      <c r="R964" s="356"/>
      <c r="S964" s="462"/>
      <c r="T964" s="346"/>
      <c r="U964" s="345" t="s">
        <v>1876</v>
      </c>
      <c r="V964" s="343" t="s">
        <v>468</v>
      </c>
      <c r="W964" s="356"/>
      <c r="X964" s="457"/>
      <c r="Y964" s="457"/>
      <c r="Z964" s="457"/>
    </row>
    <row r="965" spans="1:26" ht="14.25" customHeight="1">
      <c r="A965" s="353" t="s">
        <v>2626</v>
      </c>
      <c r="B965" s="375" t="s">
        <v>336</v>
      </c>
      <c r="C965" s="374" t="s">
        <v>892</v>
      </c>
      <c r="D965" s="402" t="s">
        <v>1635</v>
      </c>
      <c r="E965" s="343">
        <v>197654</v>
      </c>
      <c r="F965" s="343"/>
      <c r="G965" s="343"/>
      <c r="H965" s="353"/>
      <c r="I965" s="353"/>
      <c r="J965" s="343" t="s">
        <v>874</v>
      </c>
      <c r="K965" s="343" t="s">
        <v>793</v>
      </c>
      <c r="L965" s="343" t="s">
        <v>793</v>
      </c>
      <c r="M965" s="343" t="s">
        <v>293</v>
      </c>
      <c r="N965" s="353">
        <v>20.447399140000002</v>
      </c>
      <c r="O965" s="353">
        <v>92.630462649999998</v>
      </c>
      <c r="P965" s="343" t="s">
        <v>794</v>
      </c>
      <c r="Q965" s="343"/>
      <c r="R965" s="465"/>
      <c r="S965" s="466"/>
      <c r="T965" s="346">
        <v>42849</v>
      </c>
      <c r="U965" s="345" t="s">
        <v>888</v>
      </c>
      <c r="V965" s="343" t="s">
        <v>468</v>
      </c>
      <c r="W965" s="356"/>
      <c r="X965" s="457"/>
      <c r="Y965" s="457"/>
      <c r="Z965" s="457"/>
    </row>
    <row r="966" spans="1:26" ht="14.25" customHeight="1">
      <c r="A966" s="353" t="s">
        <v>2626</v>
      </c>
      <c r="B966" s="375" t="s">
        <v>336</v>
      </c>
      <c r="C966" s="374" t="s">
        <v>517</v>
      </c>
      <c r="D966" s="402" t="s">
        <v>1635</v>
      </c>
      <c r="E966" s="343">
        <v>197695</v>
      </c>
      <c r="F966" s="343" t="s">
        <v>2674</v>
      </c>
      <c r="G966" s="343"/>
      <c r="H966" s="353"/>
      <c r="I966" s="353"/>
      <c r="J966" s="343" t="s">
        <v>793</v>
      </c>
      <c r="K966" s="343" t="s">
        <v>793</v>
      </c>
      <c r="L966" s="353" t="s">
        <v>793</v>
      </c>
      <c r="M966" s="343" t="s">
        <v>293</v>
      </c>
      <c r="N966" s="353">
        <v>20.651939389999999</v>
      </c>
      <c r="O966" s="353">
        <v>92.684577939999997</v>
      </c>
      <c r="P966" s="343" t="s">
        <v>794</v>
      </c>
      <c r="Q966" s="343" t="s">
        <v>797</v>
      </c>
      <c r="R966" s="360"/>
      <c r="S966" s="361"/>
      <c r="T966" s="346">
        <v>42926</v>
      </c>
      <c r="U966" s="345" t="s">
        <v>798</v>
      </c>
      <c r="V966" s="343"/>
      <c r="W966" s="356"/>
      <c r="X966" s="457"/>
      <c r="Y966" s="457"/>
      <c r="Z966" s="457"/>
    </row>
    <row r="967" spans="1:26" ht="14.25" customHeight="1">
      <c r="A967" s="353" t="s">
        <v>2626</v>
      </c>
      <c r="B967" s="375" t="s">
        <v>336</v>
      </c>
      <c r="C967" s="374" t="s">
        <v>472</v>
      </c>
      <c r="D967" s="402" t="s">
        <v>1635</v>
      </c>
      <c r="E967" s="343">
        <v>197629</v>
      </c>
      <c r="F967" s="459" t="s">
        <v>472</v>
      </c>
      <c r="G967" s="343"/>
      <c r="H967" s="353"/>
      <c r="I967" s="353"/>
      <c r="J967" s="343" t="s">
        <v>793</v>
      </c>
      <c r="K967" s="343" t="s">
        <v>793</v>
      </c>
      <c r="L967" s="353" t="s">
        <v>793</v>
      </c>
      <c r="M967" s="343" t="s">
        <v>293</v>
      </c>
      <c r="N967" s="353">
        <v>20.463909149999999</v>
      </c>
      <c r="O967" s="353">
        <v>92.675468440000003</v>
      </c>
      <c r="P967" s="353" t="s">
        <v>794</v>
      </c>
      <c r="Q967" s="343" t="s">
        <v>797</v>
      </c>
      <c r="R967" s="356"/>
      <c r="S967" s="462"/>
      <c r="T967" s="346">
        <v>42926</v>
      </c>
      <c r="U967" s="345" t="s">
        <v>798</v>
      </c>
      <c r="V967" s="343"/>
      <c r="W967" s="356"/>
      <c r="X967" s="457"/>
      <c r="Y967" s="457"/>
      <c r="Z967" s="457"/>
    </row>
    <row r="968" spans="1:26" ht="14.25" customHeight="1">
      <c r="A968" s="353" t="s">
        <v>2626</v>
      </c>
      <c r="B968" s="375" t="s">
        <v>336</v>
      </c>
      <c r="C968" s="499" t="s">
        <v>512</v>
      </c>
      <c r="D968" s="402" t="s">
        <v>1635</v>
      </c>
      <c r="E968" s="343">
        <v>197706</v>
      </c>
      <c r="F968" s="457" t="s">
        <v>512</v>
      </c>
      <c r="G968" s="343"/>
      <c r="H968" s="353"/>
      <c r="I968" s="471"/>
      <c r="J968" s="343" t="s">
        <v>793</v>
      </c>
      <c r="K968" s="343" t="s">
        <v>793</v>
      </c>
      <c r="L968" s="471" t="s">
        <v>793</v>
      </c>
      <c r="M968" s="343" t="s">
        <v>293</v>
      </c>
      <c r="N968" s="353">
        <v>20.643590929999998</v>
      </c>
      <c r="O968" s="353">
        <v>92.722618100000005</v>
      </c>
      <c r="P968" s="343" t="s">
        <v>794</v>
      </c>
      <c r="Q968" s="343" t="s">
        <v>775</v>
      </c>
      <c r="R968" s="356"/>
      <c r="S968" s="462"/>
      <c r="T968" s="346" t="s">
        <v>800</v>
      </c>
      <c r="U968" s="345"/>
      <c r="V968" s="343"/>
      <c r="W968" s="492"/>
      <c r="X968" s="457"/>
      <c r="Y968" s="457"/>
      <c r="Z968" s="457"/>
    </row>
    <row r="969" spans="1:26" ht="14.25" customHeight="1">
      <c r="A969" s="353" t="s">
        <v>2626</v>
      </c>
      <c r="B969" s="495" t="s">
        <v>336</v>
      </c>
      <c r="C969" s="500" t="s">
        <v>910</v>
      </c>
      <c r="D969" s="402" t="s">
        <v>1635</v>
      </c>
      <c r="E969" s="493">
        <v>197583</v>
      </c>
      <c r="F969" s="496"/>
      <c r="G969" s="496"/>
      <c r="H969" s="496"/>
      <c r="I969" s="471"/>
      <c r="J969" s="496" t="s">
        <v>793</v>
      </c>
      <c r="K969" s="496" t="s">
        <v>793</v>
      </c>
      <c r="L969" s="471" t="s">
        <v>793</v>
      </c>
      <c r="M969" s="496"/>
      <c r="N969" s="496">
        <v>20.598709110000001</v>
      </c>
      <c r="O969" s="496">
        <v>92.664337160000002</v>
      </c>
      <c r="P969" s="496" t="s">
        <v>794</v>
      </c>
      <c r="Q969" s="496"/>
      <c r="R969" s="356"/>
      <c r="S969" s="462"/>
      <c r="T969" s="497"/>
      <c r="U969" s="498"/>
      <c r="V969" s="496" t="s">
        <v>910</v>
      </c>
      <c r="W969" s="492"/>
      <c r="X969" s="457"/>
      <c r="Y969" s="457"/>
      <c r="Z969" s="457"/>
    </row>
    <row r="970" spans="1:26" ht="14.25" customHeight="1">
      <c r="A970" s="353" t="s">
        <v>2626</v>
      </c>
      <c r="B970" s="375" t="s">
        <v>336</v>
      </c>
      <c r="C970" s="374" t="s">
        <v>484</v>
      </c>
      <c r="D970" s="402" t="s">
        <v>1635</v>
      </c>
      <c r="E970" s="343">
        <v>197615</v>
      </c>
      <c r="F970" s="343"/>
      <c r="G970" s="343"/>
      <c r="H970" s="343"/>
      <c r="I970" s="343"/>
      <c r="J970" s="353" t="s">
        <v>793</v>
      </c>
      <c r="K970" s="353" t="s">
        <v>793</v>
      </c>
      <c r="L970" s="353" t="s">
        <v>793</v>
      </c>
      <c r="M970" s="343" t="s">
        <v>293</v>
      </c>
      <c r="N970" s="353">
        <v>20.502599719999999</v>
      </c>
      <c r="O970" s="353">
        <v>92.6474762</v>
      </c>
      <c r="P970" s="343" t="s">
        <v>794</v>
      </c>
      <c r="Q970" s="343" t="s">
        <v>797</v>
      </c>
      <c r="R970" s="360"/>
      <c r="S970" s="361"/>
      <c r="T970" s="346">
        <v>42926</v>
      </c>
      <c r="U970" s="345" t="s">
        <v>798</v>
      </c>
      <c r="V970" s="343"/>
      <c r="W970" s="356"/>
      <c r="X970" s="457"/>
      <c r="Y970" s="457"/>
      <c r="Z970" s="457"/>
    </row>
    <row r="971" spans="1:26" ht="14.25" customHeight="1">
      <c r="A971" s="353" t="s">
        <v>2626</v>
      </c>
      <c r="B971" s="375" t="s">
        <v>336</v>
      </c>
      <c r="C971" s="374" t="s">
        <v>901</v>
      </c>
      <c r="D971" s="402" t="s">
        <v>1635</v>
      </c>
      <c r="E971" s="343">
        <v>197608</v>
      </c>
      <c r="F971" s="353"/>
      <c r="G971" s="343"/>
      <c r="H971" s="343"/>
      <c r="I971" s="343"/>
      <c r="J971" s="343" t="s">
        <v>793</v>
      </c>
      <c r="K971" s="343" t="s">
        <v>793</v>
      </c>
      <c r="L971" s="343" t="s">
        <v>793</v>
      </c>
      <c r="M971" s="343" t="s">
        <v>293</v>
      </c>
      <c r="N971" s="353">
        <v>20.521270749999999</v>
      </c>
      <c r="O971" s="353">
        <v>92.686096190000001</v>
      </c>
      <c r="P971" s="343" t="s">
        <v>794</v>
      </c>
      <c r="Q971" s="343"/>
      <c r="R971" s="465"/>
      <c r="S971" s="466"/>
      <c r="T971" s="346"/>
      <c r="U971" s="345"/>
      <c r="V971" s="343" t="s">
        <v>901</v>
      </c>
      <c r="W971" s="356"/>
      <c r="X971" s="457"/>
      <c r="Y971" s="457"/>
      <c r="Z971" s="457"/>
    </row>
    <row r="972" spans="1:26" ht="14.25" customHeight="1">
      <c r="A972" s="353" t="s">
        <v>2626</v>
      </c>
      <c r="B972" s="375" t="s">
        <v>336</v>
      </c>
      <c r="C972" s="374" t="s">
        <v>479</v>
      </c>
      <c r="D972" s="402" t="s">
        <v>1635</v>
      </c>
      <c r="E972" s="343">
        <v>197618</v>
      </c>
      <c r="F972" s="354"/>
      <c r="G972" s="343"/>
      <c r="H972" s="343"/>
      <c r="I972" s="343"/>
      <c r="J972" s="343" t="s">
        <v>793</v>
      </c>
      <c r="K972" s="343" t="s">
        <v>793</v>
      </c>
      <c r="L972" s="343" t="s">
        <v>793</v>
      </c>
      <c r="M972" s="343" t="s">
        <v>293</v>
      </c>
      <c r="N972" s="353">
        <v>20.480100629999999</v>
      </c>
      <c r="O972" s="353">
        <v>92.70481873</v>
      </c>
      <c r="P972" s="343" t="s">
        <v>794</v>
      </c>
      <c r="Q972" s="343" t="s">
        <v>797</v>
      </c>
      <c r="R972" s="356"/>
      <c r="S972" s="462"/>
      <c r="T972" s="346">
        <v>42926</v>
      </c>
      <c r="U972" s="345" t="s">
        <v>798</v>
      </c>
      <c r="V972" s="343"/>
      <c r="W972" s="356"/>
      <c r="X972" s="457"/>
      <c r="Y972" s="457"/>
      <c r="Z972" s="457"/>
    </row>
    <row r="973" spans="1:26" ht="14.25" customHeight="1">
      <c r="A973" s="353" t="s">
        <v>2626</v>
      </c>
      <c r="B973" s="375" t="s">
        <v>336</v>
      </c>
      <c r="C973" s="374" t="s">
        <v>511</v>
      </c>
      <c r="D973" s="402" t="s">
        <v>1635</v>
      </c>
      <c r="E973" s="343">
        <v>197707</v>
      </c>
      <c r="F973" s="343"/>
      <c r="G973" s="343"/>
      <c r="H973" s="353"/>
      <c r="I973" s="353"/>
      <c r="J973" s="343" t="s">
        <v>793</v>
      </c>
      <c r="K973" s="343" t="s">
        <v>793</v>
      </c>
      <c r="L973" s="343" t="s">
        <v>793</v>
      </c>
      <c r="M973" s="343" t="s">
        <v>293</v>
      </c>
      <c r="N973" s="353">
        <v>20.639530180000001</v>
      </c>
      <c r="O973" s="353">
        <v>92.721908569999997</v>
      </c>
      <c r="P973" s="343" t="s">
        <v>794</v>
      </c>
      <c r="Q973" s="343" t="s">
        <v>775</v>
      </c>
      <c r="R973" s="356"/>
      <c r="S973" s="462"/>
      <c r="T973" s="346" t="s">
        <v>800</v>
      </c>
      <c r="U973" s="345"/>
      <c r="V973" s="343"/>
      <c r="W973" s="356"/>
      <c r="X973" s="457"/>
      <c r="Y973" s="457"/>
      <c r="Z973" s="457"/>
    </row>
    <row r="974" spans="1:26" ht="14.25" customHeight="1">
      <c r="A974" s="353" t="s">
        <v>2626</v>
      </c>
      <c r="B974" s="375" t="s">
        <v>336</v>
      </c>
      <c r="C974" s="374" t="s">
        <v>503</v>
      </c>
      <c r="D974" s="402" t="s">
        <v>1635</v>
      </c>
      <c r="E974" s="353">
        <v>197580</v>
      </c>
      <c r="F974" s="353"/>
      <c r="G974" s="353"/>
      <c r="H974" s="353"/>
      <c r="I974" s="353"/>
      <c r="J974" s="343" t="s">
        <v>793</v>
      </c>
      <c r="K974" s="343" t="s">
        <v>793</v>
      </c>
      <c r="L974" s="343" t="s">
        <v>793</v>
      </c>
      <c r="M974" s="343" t="s">
        <v>293</v>
      </c>
      <c r="N974" s="353">
        <v>20.582699999999999</v>
      </c>
      <c r="O974" s="353">
        <v>92.664699999999996</v>
      </c>
      <c r="P974" s="343" t="s">
        <v>794</v>
      </c>
      <c r="Q974" s="343" t="s">
        <v>775</v>
      </c>
      <c r="R974" s="461"/>
      <c r="S974" s="462"/>
      <c r="T974" s="346"/>
      <c r="U974" s="345"/>
      <c r="V974" s="343" t="s">
        <v>503</v>
      </c>
      <c r="W974" s="356"/>
      <c r="X974" s="457"/>
      <c r="Y974" s="457"/>
      <c r="Z974" s="457"/>
    </row>
    <row r="975" spans="1:26" ht="14.25" customHeight="1">
      <c r="A975" s="353" t="s">
        <v>2626</v>
      </c>
      <c r="B975" s="375" t="s">
        <v>336</v>
      </c>
      <c r="C975" s="374" t="s">
        <v>476</v>
      </c>
      <c r="D975" s="402" t="s">
        <v>1635</v>
      </c>
      <c r="E975" s="343">
        <v>197630</v>
      </c>
      <c r="F975" s="343"/>
      <c r="G975" s="343"/>
      <c r="H975" s="343"/>
      <c r="I975" s="343"/>
      <c r="J975" s="343" t="s">
        <v>793</v>
      </c>
      <c r="K975" s="343" t="s">
        <v>793</v>
      </c>
      <c r="L975" s="343" t="s">
        <v>793</v>
      </c>
      <c r="M975" s="343" t="s">
        <v>293</v>
      </c>
      <c r="N975" s="353">
        <v>20.470119480000001</v>
      </c>
      <c r="O975" s="353">
        <v>92.672653199999999</v>
      </c>
      <c r="P975" s="343" t="s">
        <v>794</v>
      </c>
      <c r="Q975" s="343" t="s">
        <v>797</v>
      </c>
      <c r="R975" s="465"/>
      <c r="S975" s="466"/>
      <c r="T975" s="346">
        <v>42926</v>
      </c>
      <c r="U975" s="345" t="s">
        <v>798</v>
      </c>
      <c r="V975" s="343"/>
      <c r="W975" s="356"/>
      <c r="X975" s="457"/>
      <c r="Y975" s="457"/>
      <c r="Z975" s="457"/>
    </row>
    <row r="976" spans="1:26" ht="14.25" customHeight="1">
      <c r="A976" s="353" t="s">
        <v>2626</v>
      </c>
      <c r="B976" s="375" t="s">
        <v>336</v>
      </c>
      <c r="C976" s="374" t="s">
        <v>1886</v>
      </c>
      <c r="D976" s="402"/>
      <c r="E976" s="343">
        <v>197611</v>
      </c>
      <c r="F976" s="343" t="s">
        <v>1886</v>
      </c>
      <c r="G976" s="343"/>
      <c r="H976" s="343"/>
      <c r="I976" s="343"/>
      <c r="J976" s="343" t="s">
        <v>793</v>
      </c>
      <c r="K976" s="343" t="s">
        <v>793</v>
      </c>
      <c r="L976" s="343" t="s">
        <v>793</v>
      </c>
      <c r="M976" s="343" t="s">
        <v>293</v>
      </c>
      <c r="N976" s="343">
        <v>20.504730219999999</v>
      </c>
      <c r="O976" s="343">
        <v>92.6831131</v>
      </c>
      <c r="P976" s="343" t="s">
        <v>794</v>
      </c>
      <c r="Q976" s="343" t="s">
        <v>1883</v>
      </c>
      <c r="R976" s="356"/>
      <c r="S976" s="462"/>
      <c r="T976" s="346">
        <v>43245</v>
      </c>
      <c r="U976" s="345"/>
      <c r="V976" s="343"/>
      <c r="W976" s="356"/>
      <c r="X976" s="457"/>
      <c r="Y976" s="457"/>
      <c r="Z976" s="457"/>
    </row>
    <row r="977" spans="1:26" ht="14.25" customHeight="1">
      <c r="A977" s="353" t="s">
        <v>2626</v>
      </c>
      <c r="B977" s="375" t="s">
        <v>336</v>
      </c>
      <c r="C977" s="374" t="s">
        <v>1887</v>
      </c>
      <c r="D977" s="402"/>
      <c r="E977" s="343">
        <v>197613</v>
      </c>
      <c r="F977" s="354"/>
      <c r="G977" s="343"/>
      <c r="H977" s="343"/>
      <c r="I977" s="353"/>
      <c r="J977" s="353" t="s">
        <v>793</v>
      </c>
      <c r="K977" s="353" t="s">
        <v>793</v>
      </c>
      <c r="L977" s="353" t="s">
        <v>793</v>
      </c>
      <c r="M977" s="343" t="s">
        <v>293</v>
      </c>
      <c r="N977" s="353">
        <v>20.49729919</v>
      </c>
      <c r="O977" s="353">
        <v>92.683097840000002</v>
      </c>
      <c r="P977" s="343" t="s">
        <v>794</v>
      </c>
      <c r="Q977" s="343" t="s">
        <v>1883</v>
      </c>
      <c r="R977" s="356"/>
      <c r="S977" s="462"/>
      <c r="T977" s="346">
        <v>43245</v>
      </c>
      <c r="U977" s="345"/>
      <c r="V977" s="343"/>
      <c r="W977" s="356"/>
      <c r="X977" s="457"/>
      <c r="Y977" s="457"/>
      <c r="Z977" s="457"/>
    </row>
    <row r="978" spans="1:26" ht="14.25" customHeight="1">
      <c r="A978" s="353" t="s">
        <v>2626</v>
      </c>
      <c r="B978" s="479" t="s">
        <v>336</v>
      </c>
      <c r="C978" s="478" t="s">
        <v>487</v>
      </c>
      <c r="D978" s="402" t="s">
        <v>1635</v>
      </c>
      <c r="E978" s="457">
        <v>197596</v>
      </c>
      <c r="F978" s="343"/>
      <c r="G978" s="343"/>
      <c r="H978" s="457"/>
      <c r="I978" s="457"/>
      <c r="J978" s="457" t="s">
        <v>793</v>
      </c>
      <c r="K978" s="457" t="s">
        <v>793</v>
      </c>
      <c r="L978" s="457" t="s">
        <v>793</v>
      </c>
      <c r="M978" s="457" t="s">
        <v>293</v>
      </c>
      <c r="N978" s="457">
        <v>20.511900000000001</v>
      </c>
      <c r="O978" s="457">
        <v>92.645300000000006</v>
      </c>
      <c r="P978" s="343" t="s">
        <v>794</v>
      </c>
      <c r="Q978" s="457" t="s">
        <v>775</v>
      </c>
      <c r="R978" s="356"/>
      <c r="S978" s="462"/>
      <c r="T978" s="481"/>
      <c r="U978" s="463"/>
      <c r="V978" s="343" t="s">
        <v>487</v>
      </c>
      <c r="W978" s="356"/>
      <c r="X978" s="457"/>
      <c r="Y978" s="457"/>
      <c r="Z978" s="457"/>
    </row>
    <row r="979" spans="1:26" ht="14.25" customHeight="1">
      <c r="A979" s="353" t="s">
        <v>2626</v>
      </c>
      <c r="B979" s="375" t="s">
        <v>336</v>
      </c>
      <c r="C979" s="374" t="s">
        <v>469</v>
      </c>
      <c r="D979" s="402" t="s">
        <v>1635</v>
      </c>
      <c r="E979" s="343">
        <v>197621</v>
      </c>
      <c r="F979" s="343"/>
      <c r="G979" s="343"/>
      <c r="H979" s="343"/>
      <c r="I979" s="343"/>
      <c r="J979" s="343" t="s">
        <v>793</v>
      </c>
      <c r="K979" s="343" t="s">
        <v>793</v>
      </c>
      <c r="L979" s="343" t="s">
        <v>793</v>
      </c>
      <c r="M979" s="343" t="s">
        <v>293</v>
      </c>
      <c r="N979" s="353">
        <v>20.453830719999999</v>
      </c>
      <c r="O979" s="353">
        <v>92.683090210000003</v>
      </c>
      <c r="P979" s="343" t="s">
        <v>794</v>
      </c>
      <c r="Q979" s="343" t="s">
        <v>797</v>
      </c>
      <c r="R979" s="465"/>
      <c r="S979" s="466"/>
      <c r="T979" s="346">
        <v>42926</v>
      </c>
      <c r="U979" s="345" t="s">
        <v>798</v>
      </c>
      <c r="V979" s="343"/>
      <c r="W979" s="356"/>
      <c r="X979" s="457"/>
      <c r="Y979" s="457"/>
      <c r="Z979" s="457"/>
    </row>
    <row r="980" spans="1:26" ht="14.25" customHeight="1">
      <c r="A980" s="353" t="s">
        <v>2626</v>
      </c>
      <c r="B980" s="375" t="s">
        <v>336</v>
      </c>
      <c r="C980" s="374" t="s">
        <v>510</v>
      </c>
      <c r="D980" s="402" t="s">
        <v>1635</v>
      </c>
      <c r="E980" s="343">
        <v>197690</v>
      </c>
      <c r="F980" s="457"/>
      <c r="G980" s="343"/>
      <c r="H980" s="343"/>
      <c r="I980" s="343"/>
      <c r="J980" s="343" t="s">
        <v>793</v>
      </c>
      <c r="K980" s="343" t="s">
        <v>793</v>
      </c>
      <c r="L980" s="343" t="s">
        <v>793</v>
      </c>
      <c r="M980" s="343" t="s">
        <v>293</v>
      </c>
      <c r="N980" s="353">
        <v>20.636510850000001</v>
      </c>
      <c r="O980" s="353">
        <v>92.713378910000003</v>
      </c>
      <c r="P980" s="343" t="s">
        <v>794</v>
      </c>
      <c r="Q980" s="343" t="s">
        <v>775</v>
      </c>
      <c r="R980" s="461"/>
      <c r="S980" s="462"/>
      <c r="T980" s="346" t="s">
        <v>800</v>
      </c>
      <c r="U980" s="345"/>
      <c r="V980" s="343"/>
      <c r="W980" s="356"/>
      <c r="X980" s="457"/>
      <c r="Y980" s="457"/>
      <c r="Z980" s="457"/>
    </row>
    <row r="981" spans="1:26" ht="14.25" customHeight="1">
      <c r="A981" s="457" t="s">
        <v>2626</v>
      </c>
      <c r="B981" s="479" t="s">
        <v>336</v>
      </c>
      <c r="C981" s="478" t="s">
        <v>496</v>
      </c>
      <c r="D981" s="402" t="s">
        <v>1635</v>
      </c>
      <c r="E981" s="343">
        <v>197597</v>
      </c>
      <c r="F981" s="459"/>
      <c r="G981" s="343"/>
      <c r="H981" s="343"/>
      <c r="I981" s="343"/>
      <c r="J981" s="343" t="s">
        <v>793</v>
      </c>
      <c r="K981" s="343" t="s">
        <v>793</v>
      </c>
      <c r="L981" s="343" t="s">
        <v>793</v>
      </c>
      <c r="M981" s="343" t="s">
        <v>790</v>
      </c>
      <c r="N981" s="353">
        <v>20.550769809999998</v>
      </c>
      <c r="O981" s="353">
        <v>92.650512699999993</v>
      </c>
      <c r="P981" s="343" t="s">
        <v>794</v>
      </c>
      <c r="Q981" s="343" t="s">
        <v>775</v>
      </c>
      <c r="R981" s="461"/>
      <c r="S981" s="462"/>
      <c r="T981" s="346"/>
      <c r="U981" s="463"/>
      <c r="V981" s="343" t="s">
        <v>496</v>
      </c>
      <c r="W981" s="356"/>
      <c r="X981" s="457"/>
      <c r="Y981" s="457"/>
      <c r="Z981" s="457"/>
    </row>
    <row r="982" spans="1:26" ht="14.25" customHeight="1">
      <c r="A982" s="353" t="s">
        <v>2626</v>
      </c>
      <c r="B982" s="479" t="s">
        <v>336</v>
      </c>
      <c r="C982" s="478" t="s">
        <v>456</v>
      </c>
      <c r="D982" s="402" t="s">
        <v>2274</v>
      </c>
      <c r="E982" s="343" t="s">
        <v>1363</v>
      </c>
      <c r="F982" s="343"/>
      <c r="G982" s="343"/>
      <c r="H982" s="343"/>
      <c r="I982" s="343"/>
      <c r="J982" s="343" t="s">
        <v>793</v>
      </c>
      <c r="K982" s="343" t="s">
        <v>793</v>
      </c>
      <c r="L982" s="457" t="s">
        <v>878</v>
      </c>
      <c r="M982" s="343" t="s">
        <v>790</v>
      </c>
      <c r="N982" s="353">
        <v>20.335864000000001</v>
      </c>
      <c r="O982" s="353">
        <v>92.785706000000005</v>
      </c>
      <c r="P982" s="343" t="s">
        <v>794</v>
      </c>
      <c r="Q982" s="343" t="s">
        <v>775</v>
      </c>
      <c r="R982" s="461"/>
      <c r="S982" s="357"/>
      <c r="T982" s="346"/>
      <c r="U982" s="345"/>
      <c r="V982" s="343" t="s">
        <v>879</v>
      </c>
      <c r="W982" s="356"/>
      <c r="X982" s="457"/>
      <c r="Y982" s="457"/>
      <c r="Z982" s="457"/>
    </row>
    <row r="983" spans="1:26" ht="14.25" customHeight="1">
      <c r="A983" s="353" t="s">
        <v>2626</v>
      </c>
      <c r="B983" s="375" t="s">
        <v>336</v>
      </c>
      <c r="C983" s="374" t="s">
        <v>457</v>
      </c>
      <c r="D983" s="402" t="s">
        <v>1635</v>
      </c>
      <c r="E983" s="343">
        <v>197779</v>
      </c>
      <c r="F983" s="343"/>
      <c r="G983" s="343"/>
      <c r="H983" s="343"/>
      <c r="I983" s="343"/>
      <c r="J983" s="343" t="s">
        <v>793</v>
      </c>
      <c r="K983" s="343" t="s">
        <v>793</v>
      </c>
      <c r="L983" s="353" t="s">
        <v>793</v>
      </c>
      <c r="M983" s="343" t="s">
        <v>293</v>
      </c>
      <c r="N983" s="353">
        <v>20.339799880000001</v>
      </c>
      <c r="O983" s="353">
        <v>92.782653809999999</v>
      </c>
      <c r="P983" s="343" t="s">
        <v>794</v>
      </c>
      <c r="Q983" s="343" t="s">
        <v>775</v>
      </c>
      <c r="R983" s="360"/>
      <c r="S983" s="361"/>
      <c r="T983" s="346"/>
      <c r="U983" s="345"/>
      <c r="V983" s="343"/>
      <c r="W983" s="356"/>
      <c r="X983" s="457"/>
      <c r="Y983" s="457"/>
      <c r="Z983" s="457"/>
    </row>
    <row r="984" spans="1:26" ht="14.25" customHeight="1">
      <c r="A984" s="353" t="s">
        <v>2626</v>
      </c>
      <c r="B984" s="375" t="s">
        <v>336</v>
      </c>
      <c r="C984" s="374" t="s">
        <v>545</v>
      </c>
      <c r="D984" s="402" t="s">
        <v>1635</v>
      </c>
      <c r="E984" s="343">
        <v>197671</v>
      </c>
      <c r="F984" s="343"/>
      <c r="G984" s="343"/>
      <c r="H984" s="343"/>
      <c r="I984" s="353"/>
      <c r="J984" s="343" t="s">
        <v>793</v>
      </c>
      <c r="K984" s="343" t="s">
        <v>793</v>
      </c>
      <c r="L984" s="353" t="s">
        <v>793</v>
      </c>
      <c r="M984" s="343" t="s">
        <v>293</v>
      </c>
      <c r="N984" s="353">
        <v>20.694499969999999</v>
      </c>
      <c r="O984" s="353">
        <v>92.647750849999994</v>
      </c>
      <c r="P984" s="343" t="s">
        <v>794</v>
      </c>
      <c r="Q984" s="343" t="s">
        <v>775</v>
      </c>
      <c r="R984" s="356"/>
      <c r="S984" s="462"/>
      <c r="T984" s="346" t="s">
        <v>775</v>
      </c>
      <c r="U984" s="345"/>
      <c r="V984" s="343"/>
      <c r="W984" s="461"/>
      <c r="X984" s="457"/>
      <c r="Y984" s="457"/>
      <c r="Z984" s="457"/>
    </row>
    <row r="985" spans="1:26" ht="14.25" customHeight="1">
      <c r="A985" s="457" t="s">
        <v>2626</v>
      </c>
      <c r="B985" s="479" t="s">
        <v>336</v>
      </c>
      <c r="C985" s="478" t="s">
        <v>538</v>
      </c>
      <c r="D985" s="402" t="s">
        <v>1635</v>
      </c>
      <c r="E985" s="343">
        <v>197672</v>
      </c>
      <c r="F985" s="343" t="s">
        <v>538</v>
      </c>
      <c r="G985" s="343"/>
      <c r="H985" s="353"/>
      <c r="I985" s="353"/>
      <c r="J985" s="343" t="s">
        <v>793</v>
      </c>
      <c r="K985" s="343" t="s">
        <v>793</v>
      </c>
      <c r="L985" s="343" t="s">
        <v>793</v>
      </c>
      <c r="M985" s="343" t="s">
        <v>293</v>
      </c>
      <c r="N985" s="353">
        <v>20.686460490000002</v>
      </c>
      <c r="O985" s="353">
        <v>92.682327270000002</v>
      </c>
      <c r="P985" s="343" t="s">
        <v>794</v>
      </c>
      <c r="Q985" s="343" t="s">
        <v>775</v>
      </c>
      <c r="R985" s="461"/>
      <c r="S985" s="462"/>
      <c r="T985" s="346" t="s">
        <v>775</v>
      </c>
      <c r="U985" s="463"/>
      <c r="V985" s="478"/>
      <c r="W985" s="356"/>
      <c r="X985" s="457"/>
      <c r="Y985" s="457"/>
      <c r="Z985" s="457"/>
    </row>
    <row r="986" spans="1:26" ht="14.25" customHeight="1">
      <c r="A986" s="353" t="s">
        <v>2626</v>
      </c>
      <c r="B986" s="375" t="s">
        <v>336</v>
      </c>
      <c r="C986" s="374" t="s">
        <v>542</v>
      </c>
      <c r="D986" s="402" t="s">
        <v>1635</v>
      </c>
      <c r="E986" s="343">
        <v>197669</v>
      </c>
      <c r="F986" s="459"/>
      <c r="G986" s="343"/>
      <c r="H986" s="343"/>
      <c r="I986" s="343"/>
      <c r="J986" s="343" t="s">
        <v>2632</v>
      </c>
      <c r="K986" s="343" t="s">
        <v>2600</v>
      </c>
      <c r="L986" s="343" t="s">
        <v>2600</v>
      </c>
      <c r="M986" s="343" t="s">
        <v>293</v>
      </c>
      <c r="N986" s="343">
        <v>20.688629150000001</v>
      </c>
      <c r="O986" s="343">
        <v>92.652481080000001</v>
      </c>
      <c r="P986" s="343" t="s">
        <v>794</v>
      </c>
      <c r="Q986" s="343" t="s">
        <v>775</v>
      </c>
      <c r="R986" s="356"/>
      <c r="S986" s="462"/>
      <c r="T986" s="346" t="s">
        <v>800</v>
      </c>
      <c r="U986" s="345"/>
      <c r="V986" s="343"/>
      <c r="W986" s="356"/>
      <c r="X986" s="457"/>
      <c r="Y986" s="457"/>
      <c r="Z986" s="457"/>
    </row>
    <row r="987" spans="1:26" ht="14.25" customHeight="1">
      <c r="A987" s="457" t="s">
        <v>2626</v>
      </c>
      <c r="B987" s="486" t="s">
        <v>336</v>
      </c>
      <c r="C987" s="491" t="s">
        <v>488</v>
      </c>
      <c r="D987" s="402" t="s">
        <v>1635</v>
      </c>
      <c r="E987" s="471">
        <v>197609</v>
      </c>
      <c r="F987" s="343"/>
      <c r="G987" s="343"/>
      <c r="H987" s="471"/>
      <c r="I987" s="471"/>
      <c r="J987" s="471" t="s">
        <v>793</v>
      </c>
      <c r="K987" s="471" t="s">
        <v>793</v>
      </c>
      <c r="L987" s="471" t="s">
        <v>793</v>
      </c>
      <c r="M987" s="471" t="s">
        <v>293</v>
      </c>
      <c r="N987" s="471">
        <v>20.5177002</v>
      </c>
      <c r="O987" s="471">
        <v>92.660263060000005</v>
      </c>
      <c r="P987" s="343" t="s">
        <v>794</v>
      </c>
      <c r="Q987" s="472" t="s">
        <v>775</v>
      </c>
      <c r="R987" s="461"/>
      <c r="S987" s="462"/>
      <c r="T987" s="483"/>
      <c r="U987" s="471"/>
      <c r="V987" s="353" t="s">
        <v>488</v>
      </c>
      <c r="W987" s="356"/>
      <c r="X987" s="457"/>
      <c r="Y987" s="457"/>
      <c r="Z987" s="457"/>
    </row>
    <row r="988" spans="1:26" ht="14.25" customHeight="1">
      <c r="A988" s="353" t="s">
        <v>2626</v>
      </c>
      <c r="B988" s="375" t="s">
        <v>336</v>
      </c>
      <c r="C988" s="374" t="s">
        <v>492</v>
      </c>
      <c r="D988" s="402" t="s">
        <v>1635</v>
      </c>
      <c r="E988" s="353">
        <v>197599</v>
      </c>
      <c r="F988" s="353"/>
      <c r="G988" s="343"/>
      <c r="H988" s="343"/>
      <c r="I988" s="343"/>
      <c r="J988" s="343" t="s">
        <v>793</v>
      </c>
      <c r="K988" s="353" t="s">
        <v>793</v>
      </c>
      <c r="L988" s="353" t="s">
        <v>793</v>
      </c>
      <c r="M988" s="343" t="s">
        <v>293</v>
      </c>
      <c r="N988" s="343">
        <v>20.543479919999999</v>
      </c>
      <c r="O988" s="353">
        <v>92.676979059999994</v>
      </c>
      <c r="P988" s="343" t="s">
        <v>794</v>
      </c>
      <c r="Q988" s="343" t="s">
        <v>775</v>
      </c>
      <c r="R988" s="461"/>
      <c r="S988" s="462"/>
      <c r="T988" s="346"/>
      <c r="U988" s="345"/>
      <c r="V988" s="343" t="s">
        <v>492</v>
      </c>
      <c r="W988" s="356"/>
      <c r="X988" s="457"/>
      <c r="Y988" s="457"/>
      <c r="Z988" s="457"/>
    </row>
    <row r="989" spans="1:26" ht="14.25" customHeight="1">
      <c r="A989" s="353" t="s">
        <v>2626</v>
      </c>
      <c r="B989" s="375" t="s">
        <v>336</v>
      </c>
      <c r="C989" s="374" t="s">
        <v>533</v>
      </c>
      <c r="D989" s="460" t="s">
        <v>1635</v>
      </c>
      <c r="E989" s="343">
        <v>197683</v>
      </c>
      <c r="F989" s="459"/>
      <c r="G989" s="343"/>
      <c r="H989" s="343"/>
      <c r="I989" s="343"/>
      <c r="J989" s="343" t="s">
        <v>2632</v>
      </c>
      <c r="K989" s="343" t="s">
        <v>2600</v>
      </c>
      <c r="L989" s="343" t="s">
        <v>2600</v>
      </c>
      <c r="M989" s="343" t="s">
        <v>293</v>
      </c>
      <c r="N989" s="343">
        <v>20.678159709999999</v>
      </c>
      <c r="O989" s="343">
        <v>92.713821409999994</v>
      </c>
      <c r="P989" s="343" t="s">
        <v>794</v>
      </c>
      <c r="Q989" s="343" t="s">
        <v>775</v>
      </c>
      <c r="R989" s="459"/>
      <c r="S989" s="466"/>
      <c r="T989" s="346" t="s">
        <v>775</v>
      </c>
      <c r="U989" s="345"/>
      <c r="V989" s="343"/>
      <c r="W989" s="356"/>
      <c r="X989" s="457"/>
      <c r="Y989" s="457"/>
      <c r="Z989" s="457"/>
    </row>
    <row r="990" spans="1:26" ht="14.25" customHeight="1">
      <c r="A990" s="353" t="s">
        <v>2626</v>
      </c>
      <c r="B990" s="489" t="s">
        <v>336</v>
      </c>
      <c r="C990" s="490" t="s">
        <v>905</v>
      </c>
      <c r="D990" s="460" t="s">
        <v>1635</v>
      </c>
      <c r="E990" s="343">
        <v>220694</v>
      </c>
      <c r="F990" s="343"/>
      <c r="G990" s="343"/>
      <c r="H990" s="343"/>
      <c r="I990" s="343"/>
      <c r="J990" s="343" t="s">
        <v>793</v>
      </c>
      <c r="K990" s="343" t="s">
        <v>793</v>
      </c>
      <c r="L990" s="459" t="s">
        <v>793</v>
      </c>
      <c r="M990" s="343" t="s">
        <v>293</v>
      </c>
      <c r="N990" s="353">
        <v>20.581470490000001</v>
      </c>
      <c r="O990" s="353">
        <v>92.643272400000001</v>
      </c>
      <c r="P990" s="343" t="s">
        <v>794</v>
      </c>
      <c r="Q990" s="343"/>
      <c r="R990" s="469"/>
      <c r="S990" s="357"/>
      <c r="T990" s="346"/>
      <c r="U990" s="345"/>
      <c r="V990" s="343" t="s">
        <v>906</v>
      </c>
      <c r="W990" s="356"/>
      <c r="X990" s="457"/>
      <c r="Y990" s="457"/>
      <c r="Z990" s="457"/>
    </row>
    <row r="991" spans="1:26" ht="14.25" customHeight="1">
      <c r="A991" s="457" t="s">
        <v>2626</v>
      </c>
      <c r="B991" s="479" t="s">
        <v>336</v>
      </c>
      <c r="C991" s="478" t="s">
        <v>337</v>
      </c>
      <c r="D991" s="402" t="s">
        <v>1635</v>
      </c>
      <c r="E991" s="343"/>
      <c r="F991" s="343"/>
      <c r="G991" s="343"/>
      <c r="H991" s="343"/>
      <c r="I991" s="353"/>
      <c r="J991" s="343" t="s">
        <v>793</v>
      </c>
      <c r="K991" s="343" t="s">
        <v>793</v>
      </c>
      <c r="L991" s="343" t="s">
        <v>793</v>
      </c>
      <c r="M991" s="343" t="s">
        <v>293</v>
      </c>
      <c r="N991" s="353"/>
      <c r="O991" s="353"/>
      <c r="P991" s="343" t="s">
        <v>794</v>
      </c>
      <c r="Q991" s="343" t="s">
        <v>775</v>
      </c>
      <c r="R991" s="465"/>
      <c r="S991" s="466"/>
      <c r="T991" s="346" t="s">
        <v>800</v>
      </c>
      <c r="U991" s="463"/>
      <c r="V991" s="343"/>
      <c r="W991" s="356"/>
      <c r="X991" s="457"/>
      <c r="Y991" s="457"/>
      <c r="Z991" s="457"/>
    </row>
    <row r="992" spans="1:26" ht="14.25" customHeight="1">
      <c r="A992" s="353" t="s">
        <v>2626</v>
      </c>
      <c r="B992" s="375" t="s">
        <v>336</v>
      </c>
      <c r="C992" s="374" t="s">
        <v>2675</v>
      </c>
      <c r="D992" s="402" t="s">
        <v>1635</v>
      </c>
      <c r="E992" s="343">
        <v>197586</v>
      </c>
      <c r="F992" s="343" t="s">
        <v>1996</v>
      </c>
      <c r="G992" s="343"/>
      <c r="H992" s="343"/>
      <c r="I992" s="343"/>
      <c r="J992" s="343" t="s">
        <v>793</v>
      </c>
      <c r="K992" s="343" t="s">
        <v>793</v>
      </c>
      <c r="L992" s="343" t="s">
        <v>793</v>
      </c>
      <c r="M992" s="343" t="s">
        <v>293</v>
      </c>
      <c r="N992" s="343">
        <v>20.58996964</v>
      </c>
      <c r="O992" s="343">
        <v>92.691757199999998</v>
      </c>
      <c r="P992" s="343" t="s">
        <v>794</v>
      </c>
      <c r="Q992" s="343" t="s">
        <v>775</v>
      </c>
      <c r="R992" s="356"/>
      <c r="S992" s="462"/>
      <c r="T992" s="346"/>
      <c r="U992" s="345"/>
      <c r="V992" s="343" t="s">
        <v>505</v>
      </c>
      <c r="W992" s="494"/>
      <c r="X992" s="457"/>
      <c r="Y992" s="457"/>
      <c r="Z992" s="457"/>
    </row>
    <row r="993" spans="1:26" ht="14.25" customHeight="1">
      <c r="A993" s="353" t="s">
        <v>2626</v>
      </c>
      <c r="B993" s="375" t="s">
        <v>336</v>
      </c>
      <c r="C993" s="374" t="s">
        <v>2779</v>
      </c>
      <c r="D993" s="402" t="s">
        <v>1635</v>
      </c>
      <c r="E993" s="343">
        <v>197589</v>
      </c>
      <c r="F993" s="343" t="s">
        <v>903</v>
      </c>
      <c r="G993" s="343"/>
      <c r="H993" s="353"/>
      <c r="I993" s="353"/>
      <c r="J993" s="343" t="s">
        <v>2632</v>
      </c>
      <c r="K993" s="343" t="s">
        <v>2600</v>
      </c>
      <c r="L993" s="343" t="s">
        <v>2600</v>
      </c>
      <c r="M993" s="343"/>
      <c r="N993" s="353">
        <v>20.575780868530298</v>
      </c>
      <c r="O993" s="353">
        <v>92.670402526855497</v>
      </c>
      <c r="P993" s="343"/>
      <c r="Q993" s="343"/>
      <c r="R993" s="356"/>
      <c r="S993" s="462"/>
      <c r="T993" s="346"/>
      <c r="U993" s="345"/>
      <c r="V993" s="343" t="s">
        <v>2743</v>
      </c>
      <c r="W993" s="356"/>
      <c r="X993" s="457"/>
      <c r="Y993" s="457"/>
      <c r="Z993" s="457"/>
    </row>
    <row r="994" spans="1:26" ht="14.25" customHeight="1">
      <c r="A994" s="465" t="s">
        <v>2626</v>
      </c>
      <c r="B994" s="489" t="s">
        <v>336</v>
      </c>
      <c r="C994" s="490" t="s">
        <v>2749</v>
      </c>
      <c r="D994" s="460"/>
      <c r="E994" s="343"/>
      <c r="F994" s="457"/>
      <c r="G994" s="343"/>
      <c r="H994" s="353"/>
      <c r="I994" s="353"/>
      <c r="J994" s="343" t="s">
        <v>2632</v>
      </c>
      <c r="K994" s="343" t="s">
        <v>2600</v>
      </c>
      <c r="L994" s="343" t="s">
        <v>2600</v>
      </c>
      <c r="M994" s="343"/>
      <c r="N994" s="353"/>
      <c r="O994" s="353"/>
      <c r="P994" s="343"/>
      <c r="Q994" s="343"/>
      <c r="R994" s="469"/>
      <c r="S994" s="357"/>
      <c r="T994" s="346">
        <v>43591</v>
      </c>
      <c r="U994" s="469"/>
      <c r="V994" s="466" t="s">
        <v>2749</v>
      </c>
      <c r="W994" s="356"/>
      <c r="X994" s="457"/>
      <c r="Y994" s="457"/>
      <c r="Z994" s="457"/>
    </row>
    <row r="995" spans="1:26" ht="14.25" customHeight="1">
      <c r="A995" s="457" t="s">
        <v>2626</v>
      </c>
      <c r="B995" s="479" t="s">
        <v>336</v>
      </c>
      <c r="C995" s="478" t="s">
        <v>882</v>
      </c>
      <c r="D995" s="402" t="s">
        <v>1635</v>
      </c>
      <c r="E995" s="343">
        <v>197765</v>
      </c>
      <c r="F995" s="343"/>
      <c r="G995" s="343"/>
      <c r="H995" s="353"/>
      <c r="I995" s="353"/>
      <c r="J995" s="343" t="s">
        <v>793</v>
      </c>
      <c r="K995" s="343" t="s">
        <v>793</v>
      </c>
      <c r="L995" s="343" t="s">
        <v>793</v>
      </c>
      <c r="M995" s="343" t="s">
        <v>293</v>
      </c>
      <c r="N995" s="353">
        <v>20.3917</v>
      </c>
      <c r="O995" s="353">
        <v>92.770899999999997</v>
      </c>
      <c r="P995" s="343" t="s">
        <v>794</v>
      </c>
      <c r="Q995" s="343"/>
      <c r="R995" s="461"/>
      <c r="S995" s="462"/>
      <c r="T995" s="346"/>
      <c r="U995" s="463"/>
      <c r="V995" s="343" t="s">
        <v>882</v>
      </c>
      <c r="W995" s="356"/>
      <c r="X995" s="457"/>
      <c r="Y995" s="457"/>
      <c r="Z995" s="457"/>
    </row>
    <row r="996" spans="1:26" ht="14.25" customHeight="1">
      <c r="A996" s="465" t="s">
        <v>2626</v>
      </c>
      <c r="B996" s="489" t="s">
        <v>336</v>
      </c>
      <c r="C996" s="490" t="s">
        <v>2750</v>
      </c>
      <c r="D996" s="460"/>
      <c r="E996" s="343"/>
      <c r="F996" s="343"/>
      <c r="G996" s="343"/>
      <c r="H996" s="343"/>
      <c r="I996" s="343"/>
      <c r="J996" s="353" t="s">
        <v>2632</v>
      </c>
      <c r="K996" s="353" t="s">
        <v>2600</v>
      </c>
      <c r="L996" s="353" t="s">
        <v>2600</v>
      </c>
      <c r="M996" s="343"/>
      <c r="N996" s="343"/>
      <c r="O996" s="343"/>
      <c r="P996" s="343"/>
      <c r="Q996" s="343"/>
      <c r="R996" s="469"/>
      <c r="S996" s="344"/>
      <c r="T996" s="346">
        <v>43591</v>
      </c>
      <c r="U996" s="469"/>
      <c r="V996" s="343"/>
      <c r="W996" s="356"/>
      <c r="X996" s="457"/>
      <c r="Y996" s="457"/>
      <c r="Z996" s="457"/>
    </row>
    <row r="997" spans="1:26" ht="14.25" customHeight="1">
      <c r="A997" s="353" t="s">
        <v>2626</v>
      </c>
      <c r="B997" s="375" t="s">
        <v>336</v>
      </c>
      <c r="C997" s="374" t="s">
        <v>560</v>
      </c>
      <c r="D997" s="402" t="s">
        <v>1635</v>
      </c>
      <c r="E997" s="343">
        <v>197666</v>
      </c>
      <c r="F997" s="343"/>
      <c r="G997" s="343"/>
      <c r="H997" s="353"/>
      <c r="I997" s="353"/>
      <c r="J997" s="353" t="s">
        <v>793</v>
      </c>
      <c r="K997" s="353" t="s">
        <v>793</v>
      </c>
      <c r="L997" s="353" t="s">
        <v>793</v>
      </c>
      <c r="M997" s="343" t="s">
        <v>790</v>
      </c>
      <c r="N997" s="353">
        <v>20.716560359999999</v>
      </c>
      <c r="O997" s="353">
        <v>92.645408630000006</v>
      </c>
      <c r="P997" s="343" t="s">
        <v>794</v>
      </c>
      <c r="Q997" s="343" t="s">
        <v>775</v>
      </c>
      <c r="R997" s="465"/>
      <c r="S997" s="466"/>
      <c r="T997" s="346" t="s">
        <v>800</v>
      </c>
      <c r="U997" s="345"/>
      <c r="V997" s="353"/>
      <c r="W997" s="356"/>
      <c r="X997" s="457"/>
      <c r="Y997" s="457"/>
      <c r="Z997" s="457"/>
    </row>
    <row r="998" spans="1:26" ht="14.25" customHeight="1">
      <c r="A998" s="457" t="s">
        <v>2626</v>
      </c>
      <c r="B998" s="479" t="s">
        <v>336</v>
      </c>
      <c r="C998" s="478" t="s">
        <v>570</v>
      </c>
      <c r="D998" s="402" t="s">
        <v>1635</v>
      </c>
      <c r="E998" s="343">
        <v>197665</v>
      </c>
      <c r="F998" s="343"/>
      <c r="G998" s="343"/>
      <c r="H998" s="343"/>
      <c r="I998" s="343"/>
      <c r="J998" s="343" t="s">
        <v>793</v>
      </c>
      <c r="K998" s="343" t="s">
        <v>793</v>
      </c>
      <c r="L998" s="343" t="s">
        <v>793</v>
      </c>
      <c r="M998" s="343" t="s">
        <v>293</v>
      </c>
      <c r="N998" s="343">
        <v>20.72533035</v>
      </c>
      <c r="O998" s="343">
        <v>92.64795685</v>
      </c>
      <c r="P998" s="343" t="s">
        <v>794</v>
      </c>
      <c r="Q998" s="343" t="s">
        <v>775</v>
      </c>
      <c r="R998" s="465"/>
      <c r="S998" s="466"/>
      <c r="T998" s="346" t="s">
        <v>800</v>
      </c>
      <c r="U998" s="463"/>
      <c r="V998" s="343"/>
      <c r="W998" s="356"/>
      <c r="X998" s="457"/>
      <c r="Y998" s="457"/>
      <c r="Z998" s="457"/>
    </row>
    <row r="999" spans="1:26" ht="14.25" customHeight="1">
      <c r="A999" s="353" t="s">
        <v>2626</v>
      </c>
      <c r="B999" s="375" t="s">
        <v>336</v>
      </c>
      <c r="C999" s="374" t="s">
        <v>490</v>
      </c>
      <c r="D999" s="402" t="s">
        <v>1635</v>
      </c>
      <c r="E999" s="343">
        <v>197595</v>
      </c>
      <c r="F999" s="343" t="s">
        <v>500</v>
      </c>
      <c r="G999" s="343"/>
      <c r="H999" s="353"/>
      <c r="I999" s="353"/>
      <c r="J999" s="343" t="s">
        <v>793</v>
      </c>
      <c r="K999" s="353" t="s">
        <v>793</v>
      </c>
      <c r="L999" s="353" t="s">
        <v>793</v>
      </c>
      <c r="M999" s="343" t="s">
        <v>293</v>
      </c>
      <c r="N999" s="353">
        <v>20.523090360000001</v>
      </c>
      <c r="O999" s="353">
        <v>92.637947080000004</v>
      </c>
      <c r="P999" s="343" t="s">
        <v>794</v>
      </c>
      <c r="Q999" s="343" t="s">
        <v>775</v>
      </c>
      <c r="R999" s="356"/>
      <c r="S999" s="357"/>
      <c r="T999" s="346"/>
      <c r="U999" s="345"/>
      <c r="V999" s="343" t="s">
        <v>490</v>
      </c>
      <c r="W999" s="356"/>
      <c r="X999" s="457"/>
      <c r="Y999" s="457"/>
      <c r="Z999" s="457"/>
    </row>
    <row r="1000" spans="1:26" ht="14.25" customHeight="1">
      <c r="A1000" s="465" t="s">
        <v>2626</v>
      </c>
      <c r="B1000" s="489" t="s">
        <v>336</v>
      </c>
      <c r="C1000" s="490" t="s">
        <v>2748</v>
      </c>
      <c r="D1000" s="460"/>
      <c r="E1000" s="343">
        <v>197677</v>
      </c>
      <c r="F1000" s="343"/>
      <c r="G1000" s="343"/>
      <c r="H1000" s="343"/>
      <c r="I1000" s="353"/>
      <c r="J1000" s="343" t="s">
        <v>2632</v>
      </c>
      <c r="K1000" s="343" t="s">
        <v>2600</v>
      </c>
      <c r="L1000" s="353" t="s">
        <v>2600</v>
      </c>
      <c r="M1000" s="343"/>
      <c r="N1000" s="353">
        <v>20.660871505737301</v>
      </c>
      <c r="O1000" s="353">
        <v>92.683090209960895</v>
      </c>
      <c r="P1000" s="343"/>
      <c r="Q1000" s="343"/>
      <c r="R1000" s="469"/>
      <c r="S1000" s="357"/>
      <c r="T1000" s="346">
        <v>43591</v>
      </c>
      <c r="U1000" s="469"/>
      <c r="V1000" s="343"/>
      <c r="W1000" s="461"/>
      <c r="X1000" s="457"/>
      <c r="Y1000" s="457"/>
      <c r="Z1000" s="457"/>
    </row>
    <row r="1001" spans="1:26" ht="14.25" customHeight="1">
      <c r="A1001" s="353" t="s">
        <v>2626</v>
      </c>
      <c r="B1001" s="375" t="s">
        <v>336</v>
      </c>
      <c r="C1001" s="374" t="s">
        <v>495</v>
      </c>
      <c r="D1001" s="402" t="s">
        <v>1635</v>
      </c>
      <c r="E1001" s="343">
        <v>197600</v>
      </c>
      <c r="F1001" s="343"/>
      <c r="G1001" s="343"/>
      <c r="H1001" s="353"/>
      <c r="I1001" s="353"/>
      <c r="J1001" s="343" t="s">
        <v>793</v>
      </c>
      <c r="K1001" s="343" t="s">
        <v>793</v>
      </c>
      <c r="L1001" s="343" t="s">
        <v>793</v>
      </c>
      <c r="M1001" s="343" t="s">
        <v>790</v>
      </c>
      <c r="N1001" s="353">
        <v>20.550130840000001</v>
      </c>
      <c r="O1001" s="353">
        <v>92.656723020000001</v>
      </c>
      <c r="P1001" s="343" t="s">
        <v>794</v>
      </c>
      <c r="Q1001" s="343" t="s">
        <v>775</v>
      </c>
      <c r="R1001" s="356"/>
      <c r="S1001" s="357"/>
      <c r="T1001" s="346"/>
      <c r="U1001" s="345"/>
      <c r="V1001" s="343" t="s">
        <v>495</v>
      </c>
      <c r="W1001" s="461"/>
      <c r="X1001" s="457"/>
      <c r="Y1001" s="457"/>
      <c r="Z1001" s="457"/>
    </row>
    <row r="1002" spans="1:26" ht="14.25" customHeight="1">
      <c r="A1002" s="353" t="s">
        <v>2626</v>
      </c>
      <c r="B1002" s="375" t="s">
        <v>336</v>
      </c>
      <c r="C1002" s="374" t="s">
        <v>481</v>
      </c>
      <c r="D1002" s="402" t="s">
        <v>1635</v>
      </c>
      <c r="E1002" s="343">
        <v>197614</v>
      </c>
      <c r="F1002" s="343" t="s">
        <v>481</v>
      </c>
      <c r="G1002" s="343"/>
      <c r="H1002" s="343"/>
      <c r="I1002" s="343"/>
      <c r="J1002" s="343" t="s">
        <v>793</v>
      </c>
      <c r="K1002" s="343" t="s">
        <v>793</v>
      </c>
      <c r="L1002" s="343" t="s">
        <v>793</v>
      </c>
      <c r="M1002" s="343" t="s">
        <v>293</v>
      </c>
      <c r="N1002" s="343">
        <v>20.48693085</v>
      </c>
      <c r="O1002" s="343">
        <v>92.662757869999993</v>
      </c>
      <c r="P1002" s="343" t="s">
        <v>794</v>
      </c>
      <c r="Q1002" s="343" t="s">
        <v>797</v>
      </c>
      <c r="R1002" s="356"/>
      <c r="S1002" s="462"/>
      <c r="T1002" s="346">
        <v>42926</v>
      </c>
      <c r="U1002" s="345" t="s">
        <v>798</v>
      </c>
      <c r="V1002" s="343"/>
      <c r="W1002" s="461"/>
      <c r="X1002" s="457"/>
      <c r="Y1002" s="457"/>
      <c r="Z1002" s="457"/>
    </row>
    <row r="1003" spans="1:26" ht="14.25" customHeight="1">
      <c r="A1003" s="353" t="s">
        <v>2626</v>
      </c>
      <c r="B1003" s="375" t="s">
        <v>336</v>
      </c>
      <c r="C1003" s="374" t="s">
        <v>478</v>
      </c>
      <c r="D1003" s="402" t="s">
        <v>1635</v>
      </c>
      <c r="E1003" s="343">
        <v>197617</v>
      </c>
      <c r="F1003" s="459" t="s">
        <v>478</v>
      </c>
      <c r="G1003" s="343"/>
      <c r="H1003" s="343"/>
      <c r="I1003" s="343"/>
      <c r="J1003" s="343" t="s">
        <v>793</v>
      </c>
      <c r="K1003" s="343" t="s">
        <v>793</v>
      </c>
      <c r="L1003" s="343" t="s">
        <v>793</v>
      </c>
      <c r="M1003" s="343" t="s">
        <v>293</v>
      </c>
      <c r="N1003" s="343">
        <v>20.47896957</v>
      </c>
      <c r="O1003" s="343">
        <v>92.683746339999999</v>
      </c>
      <c r="P1003" s="343" t="s">
        <v>794</v>
      </c>
      <c r="Q1003" s="343" t="s">
        <v>797</v>
      </c>
      <c r="R1003" s="356"/>
      <c r="S1003" s="344"/>
      <c r="T1003" s="346">
        <v>42926</v>
      </c>
      <c r="U1003" s="345" t="s">
        <v>798</v>
      </c>
      <c r="V1003" s="343"/>
      <c r="W1003" s="461"/>
      <c r="X1003" s="457"/>
      <c r="Y1003" s="457"/>
      <c r="Z1003" s="457"/>
    </row>
    <row r="1004" spans="1:26" ht="14.25" customHeight="1">
      <c r="A1004" s="465" t="s">
        <v>2626</v>
      </c>
      <c r="B1004" s="489" t="s">
        <v>336</v>
      </c>
      <c r="C1004" s="490" t="s">
        <v>2744</v>
      </c>
      <c r="D1004" s="460"/>
      <c r="E1004" s="343"/>
      <c r="F1004" s="343"/>
      <c r="G1004" s="343"/>
      <c r="H1004" s="343"/>
      <c r="I1004" s="343"/>
      <c r="J1004" s="343" t="s">
        <v>2632</v>
      </c>
      <c r="K1004" s="343" t="s">
        <v>2600</v>
      </c>
      <c r="L1004" s="343" t="s">
        <v>2600</v>
      </c>
      <c r="M1004" s="343"/>
      <c r="N1004" s="343"/>
      <c r="O1004" s="343"/>
      <c r="P1004" s="343"/>
      <c r="Q1004" s="343"/>
      <c r="R1004" s="469"/>
      <c r="S1004" s="344"/>
      <c r="T1004" s="346">
        <v>43591</v>
      </c>
      <c r="U1004" s="469"/>
      <c r="V1004" s="343"/>
      <c r="W1004" s="461"/>
      <c r="X1004" s="457"/>
      <c r="Y1004" s="457"/>
      <c r="Z1004" s="457"/>
    </row>
    <row r="1005" spans="1:26" ht="14.25" customHeight="1">
      <c r="A1005" s="353" t="s">
        <v>2626</v>
      </c>
      <c r="B1005" s="375" t="s">
        <v>336</v>
      </c>
      <c r="C1005" s="374" t="s">
        <v>522</v>
      </c>
      <c r="D1005" s="402" t="s">
        <v>1635</v>
      </c>
      <c r="E1005" s="343">
        <v>197673</v>
      </c>
      <c r="F1005" s="343"/>
      <c r="G1005" s="343"/>
      <c r="H1005" s="343"/>
      <c r="I1005" s="343"/>
      <c r="J1005" s="343" t="s">
        <v>2632</v>
      </c>
      <c r="K1005" s="343" t="s">
        <v>2600</v>
      </c>
      <c r="L1005" s="343" t="s">
        <v>2600</v>
      </c>
      <c r="M1005" s="343" t="s">
        <v>293</v>
      </c>
      <c r="N1005" s="343">
        <v>20.66592979</v>
      </c>
      <c r="O1005" s="343">
        <v>92.672691349999994</v>
      </c>
      <c r="P1005" s="343" t="s">
        <v>794</v>
      </c>
      <c r="Q1005" s="343" t="s">
        <v>775</v>
      </c>
      <c r="R1005" s="356"/>
      <c r="S1005" s="344"/>
      <c r="T1005" s="346" t="s">
        <v>775</v>
      </c>
      <c r="U1005" s="345"/>
      <c r="V1005" s="343"/>
      <c r="W1005" s="461"/>
      <c r="X1005" s="457"/>
      <c r="Y1005" s="457"/>
      <c r="Z1005" s="457"/>
    </row>
    <row r="1006" spans="1:26" ht="14.25" customHeight="1">
      <c r="A1006" s="465" t="s">
        <v>2626</v>
      </c>
      <c r="B1006" s="489" t="s">
        <v>336</v>
      </c>
      <c r="C1006" s="490" t="s">
        <v>526</v>
      </c>
      <c r="D1006" s="460"/>
      <c r="E1006" s="343">
        <v>197675</v>
      </c>
      <c r="F1006" s="353"/>
      <c r="G1006" s="343"/>
      <c r="H1006" s="343"/>
      <c r="I1006" s="353"/>
      <c r="J1006" s="353" t="s">
        <v>2632</v>
      </c>
      <c r="K1006" s="353" t="s">
        <v>2600</v>
      </c>
      <c r="L1006" s="353" t="s">
        <v>2600</v>
      </c>
      <c r="M1006" s="343" t="s">
        <v>293</v>
      </c>
      <c r="N1006" s="353">
        <v>20.670539860000002</v>
      </c>
      <c r="O1006" s="353">
        <v>92.703033450000007</v>
      </c>
      <c r="P1006" s="343" t="s">
        <v>794</v>
      </c>
      <c r="Q1006" s="343"/>
      <c r="R1006" s="469"/>
      <c r="S1006" s="357"/>
      <c r="T1006" s="346">
        <v>43591</v>
      </c>
      <c r="U1006" s="469"/>
      <c r="V1006" s="457"/>
      <c r="W1006" s="461"/>
      <c r="X1006" s="457"/>
      <c r="Y1006" s="457"/>
      <c r="Z1006" s="457"/>
    </row>
    <row r="1007" spans="1:26" ht="14.25" customHeight="1">
      <c r="A1007" s="353" t="s">
        <v>2626</v>
      </c>
      <c r="B1007" s="375" t="s">
        <v>336</v>
      </c>
      <c r="C1007" s="374" t="s">
        <v>475</v>
      </c>
      <c r="D1007" s="402" t="s">
        <v>1635</v>
      </c>
      <c r="E1007" s="343">
        <v>197632</v>
      </c>
      <c r="F1007" s="343"/>
      <c r="G1007" s="343"/>
      <c r="H1007" s="343"/>
      <c r="I1007" s="353"/>
      <c r="J1007" s="343" t="s">
        <v>793</v>
      </c>
      <c r="K1007" s="343" t="s">
        <v>793</v>
      </c>
      <c r="L1007" s="343" t="s">
        <v>793</v>
      </c>
      <c r="M1007" s="343" t="s">
        <v>293</v>
      </c>
      <c r="N1007" s="353">
        <v>20.469949719999999</v>
      </c>
      <c r="O1007" s="353">
        <v>92.676437379999996</v>
      </c>
      <c r="P1007" s="343" t="s">
        <v>794</v>
      </c>
      <c r="Q1007" s="343" t="s">
        <v>797</v>
      </c>
      <c r="R1007" s="356"/>
      <c r="S1007" s="357"/>
      <c r="T1007" s="346">
        <v>42926</v>
      </c>
      <c r="U1007" s="345" t="s">
        <v>798</v>
      </c>
      <c r="V1007" s="343"/>
      <c r="W1007" s="461"/>
      <c r="X1007" s="457"/>
      <c r="Y1007" s="457"/>
      <c r="Z1007" s="457"/>
    </row>
    <row r="1008" spans="1:26" ht="14.25" customHeight="1">
      <c r="A1008" s="353" t="s">
        <v>293</v>
      </c>
      <c r="B1008" s="375" t="s">
        <v>324</v>
      </c>
      <c r="C1008" s="374" t="s">
        <v>383</v>
      </c>
      <c r="D1008" s="402" t="s">
        <v>1635</v>
      </c>
      <c r="E1008" s="343">
        <v>199157</v>
      </c>
      <c r="F1008" s="343"/>
      <c r="G1008" s="343"/>
      <c r="H1008" s="343"/>
      <c r="I1008" s="343"/>
      <c r="J1008" s="343" t="s">
        <v>799</v>
      </c>
      <c r="K1008" s="343" t="s">
        <v>793</v>
      </c>
      <c r="L1008" s="343" t="s">
        <v>799</v>
      </c>
      <c r="M1008" s="343" t="s">
        <v>802</v>
      </c>
      <c r="N1008" s="343">
        <v>19.726810459999999</v>
      </c>
      <c r="O1008" s="343">
        <v>94.028686519999994</v>
      </c>
      <c r="P1008" s="343" t="s">
        <v>918</v>
      </c>
      <c r="Q1008" s="343" t="s">
        <v>775</v>
      </c>
      <c r="R1008" s="356"/>
      <c r="S1008" s="344"/>
      <c r="T1008" s="346" t="s">
        <v>800</v>
      </c>
      <c r="U1008" s="345"/>
      <c r="V1008" s="343" t="s">
        <v>383</v>
      </c>
      <c r="W1008" s="353"/>
      <c r="X1008" s="457"/>
      <c r="Y1008" s="457"/>
      <c r="Z1008" s="457"/>
    </row>
    <row r="1009" spans="1:26" ht="14.25" customHeight="1">
      <c r="A1009" s="353" t="s">
        <v>293</v>
      </c>
      <c r="B1009" s="375" t="s">
        <v>324</v>
      </c>
      <c r="C1009" s="374" t="s">
        <v>395</v>
      </c>
      <c r="D1009" s="402" t="s">
        <v>1635</v>
      </c>
      <c r="E1009" s="353">
        <v>199233</v>
      </c>
      <c r="F1009" s="353"/>
      <c r="G1009" s="353"/>
      <c r="H1009" s="353"/>
      <c r="I1009" s="353"/>
      <c r="J1009" s="353" t="s">
        <v>799</v>
      </c>
      <c r="K1009" s="353" t="s">
        <v>793</v>
      </c>
      <c r="L1009" s="353" t="s">
        <v>799</v>
      </c>
      <c r="M1009" s="353" t="s">
        <v>293</v>
      </c>
      <c r="N1009" s="353">
        <v>19.994710919999999</v>
      </c>
      <c r="O1009" s="353">
        <v>93.836921689999997</v>
      </c>
      <c r="P1009" s="353" t="s">
        <v>918</v>
      </c>
      <c r="Q1009" s="353" t="s">
        <v>775</v>
      </c>
      <c r="R1009" s="356"/>
      <c r="S1009" s="357"/>
      <c r="T1009" s="376" t="s">
        <v>800</v>
      </c>
      <c r="U1009" s="358"/>
      <c r="V1009" s="353" t="s">
        <v>395</v>
      </c>
      <c r="W1009" s="353"/>
      <c r="X1009" s="457"/>
      <c r="Y1009" s="457"/>
      <c r="Z1009" s="457"/>
    </row>
    <row r="1010" spans="1:26" ht="14.25" customHeight="1">
      <c r="A1010" s="353" t="s">
        <v>293</v>
      </c>
      <c r="B1010" s="375" t="s">
        <v>324</v>
      </c>
      <c r="C1010" s="374" t="s">
        <v>390</v>
      </c>
      <c r="D1010" s="402" t="s">
        <v>1635</v>
      </c>
      <c r="E1010" s="343">
        <v>199235</v>
      </c>
      <c r="F1010" s="343"/>
      <c r="G1010" s="343"/>
      <c r="H1010" s="343"/>
      <c r="I1010" s="343"/>
      <c r="J1010" s="343" t="s">
        <v>799</v>
      </c>
      <c r="K1010" s="343" t="s">
        <v>793</v>
      </c>
      <c r="L1010" s="343" t="s">
        <v>799</v>
      </c>
      <c r="M1010" s="343" t="s">
        <v>293</v>
      </c>
      <c r="N1010" s="353">
        <v>19.98567963</v>
      </c>
      <c r="O1010" s="353">
        <v>93.843322749999999</v>
      </c>
      <c r="P1010" s="343" t="s">
        <v>918</v>
      </c>
      <c r="Q1010" s="343" t="s">
        <v>775</v>
      </c>
      <c r="R1010" s="356"/>
      <c r="S1010" s="357"/>
      <c r="T1010" s="346" t="s">
        <v>800</v>
      </c>
      <c r="U1010" s="345"/>
      <c r="V1010" s="343" t="s">
        <v>390</v>
      </c>
      <c r="W1010" s="353"/>
      <c r="X1010" s="457"/>
      <c r="Y1010" s="457"/>
      <c r="Z1010" s="457"/>
    </row>
    <row r="1011" spans="1:26" ht="14.25" customHeight="1">
      <c r="A1011" s="353" t="s">
        <v>293</v>
      </c>
      <c r="B1011" s="375" t="s">
        <v>324</v>
      </c>
      <c r="C1011" s="374" t="s">
        <v>392</v>
      </c>
      <c r="D1011" s="402" t="s">
        <v>1635</v>
      </c>
      <c r="E1011" s="343">
        <v>199236</v>
      </c>
      <c r="F1011" s="343"/>
      <c r="G1011" s="343"/>
      <c r="H1011" s="343"/>
      <c r="I1011" s="343"/>
      <c r="J1011" s="343" t="s">
        <v>799</v>
      </c>
      <c r="K1011" s="343" t="s">
        <v>793</v>
      </c>
      <c r="L1011" s="343" t="s">
        <v>799</v>
      </c>
      <c r="M1011" s="343" t="s">
        <v>293</v>
      </c>
      <c r="N1011" s="353">
        <v>19.98868942</v>
      </c>
      <c r="O1011" s="353">
        <v>93.842460630000005</v>
      </c>
      <c r="P1011" s="343" t="s">
        <v>918</v>
      </c>
      <c r="Q1011" s="343" t="s">
        <v>775</v>
      </c>
      <c r="R1011" s="356"/>
      <c r="S1011" s="357"/>
      <c r="T1011" s="346" t="s">
        <v>800</v>
      </c>
      <c r="U1011" s="345"/>
      <c r="V1011" s="343" t="s">
        <v>392</v>
      </c>
      <c r="W1011" s="353"/>
      <c r="X1011" s="457"/>
      <c r="Y1011" s="457"/>
      <c r="Z1011" s="457"/>
    </row>
    <row r="1012" spans="1:26" ht="14.25" customHeight="1">
      <c r="A1012" s="353" t="s">
        <v>293</v>
      </c>
      <c r="B1012" s="375" t="s">
        <v>324</v>
      </c>
      <c r="C1012" s="374" t="s">
        <v>372</v>
      </c>
      <c r="D1012" s="402" t="s">
        <v>1635</v>
      </c>
      <c r="E1012" s="353">
        <v>199264</v>
      </c>
      <c r="F1012" s="353"/>
      <c r="G1012" s="353"/>
      <c r="H1012" s="353"/>
      <c r="I1012" s="353"/>
      <c r="J1012" s="353" t="s">
        <v>799</v>
      </c>
      <c r="K1012" s="353" t="s">
        <v>793</v>
      </c>
      <c r="L1012" s="353" t="s">
        <v>799</v>
      </c>
      <c r="M1012" s="353" t="s">
        <v>293</v>
      </c>
      <c r="N1012" s="353">
        <v>19.61097908</v>
      </c>
      <c r="O1012" s="353">
        <v>93.984741209999996</v>
      </c>
      <c r="P1012" s="353" t="s">
        <v>918</v>
      </c>
      <c r="Q1012" s="353" t="s">
        <v>775</v>
      </c>
      <c r="R1012" s="356"/>
      <c r="S1012" s="357"/>
      <c r="T1012" s="376" t="s">
        <v>800</v>
      </c>
      <c r="U1012" s="358"/>
      <c r="V1012" s="353" t="s">
        <v>372</v>
      </c>
      <c r="W1012" s="353"/>
      <c r="X1012" s="457"/>
      <c r="Y1012" s="457"/>
      <c r="Z1012" s="457"/>
    </row>
    <row r="1013" spans="1:26" ht="14.25" customHeight="1">
      <c r="A1013" s="353" t="s">
        <v>293</v>
      </c>
      <c r="B1013" s="375" t="s">
        <v>324</v>
      </c>
      <c r="C1013" s="374" t="s">
        <v>381</v>
      </c>
      <c r="D1013" s="402" t="s">
        <v>1635</v>
      </c>
      <c r="E1013" s="353">
        <v>199159</v>
      </c>
      <c r="F1013" s="353"/>
      <c r="G1013" s="353"/>
      <c r="H1013" s="353"/>
      <c r="I1013" s="353"/>
      <c r="J1013" s="353" t="s">
        <v>799</v>
      </c>
      <c r="K1013" s="353" t="s">
        <v>793</v>
      </c>
      <c r="L1013" s="353" t="s">
        <v>799</v>
      </c>
      <c r="M1013" s="353" t="s">
        <v>293</v>
      </c>
      <c r="N1013" s="353">
        <v>19.721389769999998</v>
      </c>
      <c r="O1013" s="353">
        <v>94.019851680000002</v>
      </c>
      <c r="P1013" s="353" t="s">
        <v>918</v>
      </c>
      <c r="Q1013" s="353" t="s">
        <v>775</v>
      </c>
      <c r="R1013" s="356"/>
      <c r="S1013" s="357"/>
      <c r="T1013" s="376" t="s">
        <v>800</v>
      </c>
      <c r="U1013" s="358"/>
      <c r="V1013" s="353" t="s">
        <v>381</v>
      </c>
      <c r="W1013" s="353"/>
      <c r="X1013" s="457"/>
      <c r="Y1013" s="457"/>
      <c r="Z1013" s="457"/>
    </row>
    <row r="1014" spans="1:26" ht="14.25" customHeight="1">
      <c r="A1014" s="353" t="s">
        <v>293</v>
      </c>
      <c r="B1014" s="375" t="s">
        <v>324</v>
      </c>
      <c r="C1014" s="398" t="s">
        <v>396</v>
      </c>
      <c r="D1014" s="402" t="s">
        <v>1635</v>
      </c>
      <c r="E1014" s="353">
        <v>199240</v>
      </c>
      <c r="F1014" s="353"/>
      <c r="G1014" s="353"/>
      <c r="H1014" s="353"/>
      <c r="I1014" s="353"/>
      <c r="J1014" s="353" t="s">
        <v>799</v>
      </c>
      <c r="K1014" s="353" t="s">
        <v>793</v>
      </c>
      <c r="L1014" s="353" t="s">
        <v>799</v>
      </c>
      <c r="M1014" s="353" t="s">
        <v>293</v>
      </c>
      <c r="N1014" s="353">
        <v>20.008769990000001</v>
      </c>
      <c r="O1014" s="353">
        <v>93.816879270000001</v>
      </c>
      <c r="P1014" s="353" t="s">
        <v>918</v>
      </c>
      <c r="Q1014" s="353" t="s">
        <v>775</v>
      </c>
      <c r="R1014" s="356"/>
      <c r="S1014" s="357"/>
      <c r="T1014" s="376" t="s">
        <v>800</v>
      </c>
      <c r="U1014" s="358"/>
      <c r="V1014" s="348" t="s">
        <v>396</v>
      </c>
      <c r="W1014" s="353"/>
      <c r="X1014" s="457"/>
      <c r="Y1014" s="457"/>
      <c r="Z1014" s="457"/>
    </row>
    <row r="1015" spans="1:26" ht="14.25" customHeight="1">
      <c r="A1015" s="353" t="s">
        <v>293</v>
      </c>
      <c r="B1015" s="375" t="s">
        <v>324</v>
      </c>
      <c r="C1015" s="374" t="s">
        <v>388</v>
      </c>
      <c r="D1015" s="402" t="s">
        <v>1635</v>
      </c>
      <c r="E1015" s="353">
        <v>199134</v>
      </c>
      <c r="F1015" s="353"/>
      <c r="G1015" s="353"/>
      <c r="H1015" s="353"/>
      <c r="I1015" s="353"/>
      <c r="J1015" s="353" t="s">
        <v>799</v>
      </c>
      <c r="K1015" s="353" t="s">
        <v>793</v>
      </c>
      <c r="L1015" s="353" t="s">
        <v>799</v>
      </c>
      <c r="M1015" s="353" t="s">
        <v>806</v>
      </c>
      <c r="N1015" s="353">
        <v>19.95569038</v>
      </c>
      <c r="O1015" s="353">
        <v>93.80155182</v>
      </c>
      <c r="P1015" s="353" t="s">
        <v>918</v>
      </c>
      <c r="Q1015" s="353" t="s">
        <v>775</v>
      </c>
      <c r="R1015" s="356"/>
      <c r="S1015" s="357"/>
      <c r="T1015" s="376" t="s">
        <v>800</v>
      </c>
      <c r="U1015" s="358"/>
      <c r="V1015" s="353" t="s">
        <v>807</v>
      </c>
      <c r="W1015" s="353"/>
      <c r="X1015" s="461"/>
      <c r="Y1015" s="457"/>
      <c r="Z1015" s="457"/>
    </row>
    <row r="1016" spans="1:26" ht="14.25" customHeight="1">
      <c r="A1016" s="353" t="s">
        <v>293</v>
      </c>
      <c r="B1016" s="375" t="s">
        <v>324</v>
      </c>
      <c r="C1016" s="479" t="s">
        <v>380</v>
      </c>
      <c r="D1016" s="402" t="s">
        <v>1635</v>
      </c>
      <c r="E1016" s="353">
        <v>199161</v>
      </c>
      <c r="F1016" s="353"/>
      <c r="G1016" s="353"/>
      <c r="H1016" s="353"/>
      <c r="I1016" s="353"/>
      <c r="J1016" s="353" t="s">
        <v>799</v>
      </c>
      <c r="K1016" s="353" t="s">
        <v>793</v>
      </c>
      <c r="L1016" s="353" t="s">
        <v>799</v>
      </c>
      <c r="M1016" s="353" t="s">
        <v>802</v>
      </c>
      <c r="N1016" s="353">
        <v>19.70627975</v>
      </c>
      <c r="O1016" s="353">
        <v>94.016433719999995</v>
      </c>
      <c r="P1016" s="353" t="s">
        <v>918</v>
      </c>
      <c r="Q1016" s="353" t="s">
        <v>775</v>
      </c>
      <c r="R1016" s="356"/>
      <c r="S1016" s="357"/>
      <c r="T1016" s="376" t="s">
        <v>800</v>
      </c>
      <c r="U1016" s="358"/>
      <c r="V1016" s="353" t="s">
        <v>380</v>
      </c>
      <c r="W1016" s="353"/>
      <c r="X1016" s="461"/>
      <c r="Y1016" s="457"/>
      <c r="Z1016" s="457"/>
    </row>
    <row r="1017" spans="1:26" ht="14.25" customHeight="1">
      <c r="A1017" s="353" t="s">
        <v>293</v>
      </c>
      <c r="B1017" s="375" t="s">
        <v>324</v>
      </c>
      <c r="C1017" s="479" t="s">
        <v>375</v>
      </c>
      <c r="D1017" s="402" t="s">
        <v>1635</v>
      </c>
      <c r="E1017" s="353">
        <v>199266</v>
      </c>
      <c r="F1017" s="353"/>
      <c r="G1017" s="353"/>
      <c r="H1017" s="353"/>
      <c r="I1017" s="353"/>
      <c r="J1017" s="353" t="s">
        <v>799</v>
      </c>
      <c r="K1017" s="353" t="s">
        <v>793</v>
      </c>
      <c r="L1017" s="353" t="s">
        <v>799</v>
      </c>
      <c r="M1017" s="353" t="s">
        <v>802</v>
      </c>
      <c r="N1017" s="353">
        <v>19.6192894</v>
      </c>
      <c r="O1017" s="353">
        <v>93.95968628</v>
      </c>
      <c r="P1017" s="353" t="s">
        <v>918</v>
      </c>
      <c r="Q1017" s="353" t="s">
        <v>775</v>
      </c>
      <c r="R1017" s="461"/>
      <c r="S1017" s="462"/>
      <c r="T1017" s="376" t="s">
        <v>800</v>
      </c>
      <c r="U1017" s="358"/>
      <c r="V1017" s="353" t="s">
        <v>375</v>
      </c>
      <c r="W1017" s="353"/>
      <c r="X1017" s="461"/>
      <c r="Y1017" s="457"/>
      <c r="Z1017" s="457"/>
    </row>
    <row r="1018" spans="1:26" ht="14.25" customHeight="1">
      <c r="A1018" s="353" t="s">
        <v>293</v>
      </c>
      <c r="B1018" s="375" t="s">
        <v>324</v>
      </c>
      <c r="C1018" s="479" t="s">
        <v>370</v>
      </c>
      <c r="D1018" s="402" t="s">
        <v>1635</v>
      </c>
      <c r="E1018" s="353">
        <v>199191</v>
      </c>
      <c r="F1018" s="353"/>
      <c r="G1018" s="353"/>
      <c r="H1018" s="353"/>
      <c r="I1018" s="353"/>
      <c r="J1018" s="353" t="s">
        <v>799</v>
      </c>
      <c r="K1018" s="457" t="s">
        <v>793</v>
      </c>
      <c r="L1018" s="457" t="s">
        <v>799</v>
      </c>
      <c r="M1018" s="353" t="s">
        <v>293</v>
      </c>
      <c r="N1018" s="353">
        <v>19.484790799999999</v>
      </c>
      <c r="O1018" s="353">
        <v>94.007926940000004</v>
      </c>
      <c r="P1018" s="353" t="s">
        <v>918</v>
      </c>
      <c r="Q1018" s="353" t="s">
        <v>775</v>
      </c>
      <c r="R1018" s="356"/>
      <c r="S1018" s="357"/>
      <c r="T1018" s="376" t="s">
        <v>800</v>
      </c>
      <c r="U1018" s="358"/>
      <c r="V1018" s="353" t="s">
        <v>370</v>
      </c>
      <c r="W1018" s="353"/>
      <c r="X1018" s="461"/>
      <c r="Y1018" s="457"/>
      <c r="Z1018" s="457"/>
    </row>
    <row r="1019" spans="1:26" ht="14.25" customHeight="1">
      <c r="A1019" s="353" t="s">
        <v>293</v>
      </c>
      <c r="B1019" s="375" t="s">
        <v>324</v>
      </c>
      <c r="C1019" s="479" t="s">
        <v>325</v>
      </c>
      <c r="D1019" s="402" t="s">
        <v>1635</v>
      </c>
      <c r="E1019" s="353"/>
      <c r="F1019" s="464"/>
      <c r="G1019" s="353"/>
      <c r="H1019" s="353"/>
      <c r="I1019" s="353"/>
      <c r="J1019" s="353" t="s">
        <v>799</v>
      </c>
      <c r="K1019" s="353" t="s">
        <v>793</v>
      </c>
      <c r="L1019" s="353" t="s">
        <v>799</v>
      </c>
      <c r="M1019" s="353" t="s">
        <v>806</v>
      </c>
      <c r="N1019" s="353"/>
      <c r="O1019" s="353"/>
      <c r="P1019" s="353" t="s">
        <v>918</v>
      </c>
      <c r="Q1019" s="353" t="s">
        <v>775</v>
      </c>
      <c r="R1019" s="356"/>
      <c r="S1019" s="357"/>
      <c r="T1019" s="376" t="s">
        <v>800</v>
      </c>
      <c r="U1019" s="358"/>
      <c r="V1019" s="353" t="s">
        <v>325</v>
      </c>
      <c r="W1019" s="353"/>
      <c r="X1019" s="461"/>
      <c r="Y1019" s="457"/>
      <c r="Z1019" s="457"/>
    </row>
    <row r="1020" spans="1:26" ht="14.25" customHeight="1">
      <c r="A1020" s="353" t="s">
        <v>293</v>
      </c>
      <c r="B1020" s="375" t="s">
        <v>324</v>
      </c>
      <c r="C1020" s="479" t="s">
        <v>393</v>
      </c>
      <c r="D1020" s="402" t="s">
        <v>1635</v>
      </c>
      <c r="E1020" s="353">
        <v>199250</v>
      </c>
      <c r="F1020" s="353"/>
      <c r="G1020" s="353"/>
      <c r="H1020" s="353"/>
      <c r="I1020" s="353"/>
      <c r="J1020" s="353" t="s">
        <v>799</v>
      </c>
      <c r="K1020" s="353" t="s">
        <v>793</v>
      </c>
      <c r="L1020" s="353" t="s">
        <v>799</v>
      </c>
      <c r="M1020" s="353" t="s">
        <v>293</v>
      </c>
      <c r="N1020" s="353">
        <v>19.989589689999999</v>
      </c>
      <c r="O1020" s="353">
        <v>93.823867800000002</v>
      </c>
      <c r="P1020" s="353" t="s">
        <v>918</v>
      </c>
      <c r="Q1020" s="353" t="s">
        <v>775</v>
      </c>
      <c r="R1020" s="356"/>
      <c r="S1020" s="357"/>
      <c r="T1020" s="376" t="s">
        <v>800</v>
      </c>
      <c r="U1020" s="358"/>
      <c r="V1020" s="353" t="s">
        <v>809</v>
      </c>
      <c r="W1020" s="353"/>
      <c r="X1020" s="461"/>
      <c r="Y1020" s="457"/>
      <c r="Z1020" s="457"/>
    </row>
    <row r="1021" spans="1:26" ht="14.25" customHeight="1">
      <c r="A1021" s="353" t="s">
        <v>293</v>
      </c>
      <c r="B1021" s="375" t="s">
        <v>324</v>
      </c>
      <c r="C1021" s="479" t="s">
        <v>382</v>
      </c>
      <c r="D1021" s="402" t="s">
        <v>1635</v>
      </c>
      <c r="E1021" s="353">
        <v>199158</v>
      </c>
      <c r="F1021" s="353"/>
      <c r="G1021" s="353"/>
      <c r="H1021" s="353"/>
      <c r="I1021" s="353"/>
      <c r="J1021" s="353" t="s">
        <v>799</v>
      </c>
      <c r="K1021" s="353" t="s">
        <v>793</v>
      </c>
      <c r="L1021" s="353" t="s">
        <v>799</v>
      </c>
      <c r="M1021" s="353" t="s">
        <v>293</v>
      </c>
      <c r="N1021" s="353">
        <v>19.725629810000001</v>
      </c>
      <c r="O1021" s="353">
        <v>94.03105927</v>
      </c>
      <c r="P1021" s="353" t="s">
        <v>918</v>
      </c>
      <c r="Q1021" s="353" t="s">
        <v>775</v>
      </c>
      <c r="R1021" s="356"/>
      <c r="S1021" s="357"/>
      <c r="T1021" s="376" t="s">
        <v>800</v>
      </c>
      <c r="U1021" s="358"/>
      <c r="V1021" s="353" t="s">
        <v>803</v>
      </c>
      <c r="W1021" s="353"/>
      <c r="X1021" s="461"/>
      <c r="Y1021" s="457"/>
      <c r="Z1021" s="457"/>
    </row>
    <row r="1022" spans="1:26" ht="14.25" customHeight="1">
      <c r="A1022" s="353" t="s">
        <v>293</v>
      </c>
      <c r="B1022" s="375" t="s">
        <v>324</v>
      </c>
      <c r="C1022" s="479" t="s">
        <v>371</v>
      </c>
      <c r="D1022" s="402" t="s">
        <v>1635</v>
      </c>
      <c r="E1022" s="353">
        <v>199195</v>
      </c>
      <c r="F1022" s="353"/>
      <c r="G1022" s="353"/>
      <c r="H1022" s="353"/>
      <c r="I1022" s="353"/>
      <c r="J1022" s="353" t="s">
        <v>799</v>
      </c>
      <c r="K1022" s="353" t="s">
        <v>793</v>
      </c>
      <c r="L1022" s="353" t="s">
        <v>799</v>
      </c>
      <c r="M1022" s="353" t="s">
        <v>293</v>
      </c>
      <c r="N1022" s="353">
        <v>19.591590879999998</v>
      </c>
      <c r="O1022" s="353">
        <v>93.80825806</v>
      </c>
      <c r="P1022" s="353" t="s">
        <v>918</v>
      </c>
      <c r="Q1022" s="353" t="s">
        <v>775</v>
      </c>
      <c r="R1022" s="356"/>
      <c r="S1022" s="357"/>
      <c r="T1022" s="376">
        <v>42745</v>
      </c>
      <c r="U1022" s="358"/>
      <c r="V1022" s="353"/>
      <c r="W1022" s="353"/>
      <c r="X1022" s="461"/>
      <c r="Y1022" s="457"/>
      <c r="Z1022" s="457"/>
    </row>
    <row r="1023" spans="1:26" ht="14.25" customHeight="1">
      <c r="A1023" s="353" t="s">
        <v>293</v>
      </c>
      <c r="B1023" s="375" t="s">
        <v>324</v>
      </c>
      <c r="C1023" s="479" t="s">
        <v>377</v>
      </c>
      <c r="D1023" s="402" t="s">
        <v>1635</v>
      </c>
      <c r="E1023" s="457">
        <v>199223</v>
      </c>
      <c r="F1023" s="353"/>
      <c r="G1023" s="353"/>
      <c r="H1023" s="353"/>
      <c r="I1023" s="353"/>
      <c r="J1023" s="353" t="s">
        <v>799</v>
      </c>
      <c r="K1023" s="353" t="s">
        <v>793</v>
      </c>
      <c r="L1023" s="353" t="s">
        <v>799</v>
      </c>
      <c r="M1023" s="353" t="s">
        <v>802</v>
      </c>
      <c r="N1023" s="353">
        <v>19.639009479999999</v>
      </c>
      <c r="O1023" s="353">
        <v>94.036079409999999</v>
      </c>
      <c r="P1023" s="353" t="s">
        <v>918</v>
      </c>
      <c r="Q1023" s="353" t="s">
        <v>775</v>
      </c>
      <c r="R1023" s="356"/>
      <c r="S1023" s="357"/>
      <c r="T1023" s="376" t="s">
        <v>800</v>
      </c>
      <c r="U1023" s="358"/>
      <c r="V1023" s="353" t="s">
        <v>377</v>
      </c>
      <c r="W1023" s="353"/>
      <c r="X1023" s="461"/>
      <c r="Y1023" s="457"/>
      <c r="Z1023" s="457"/>
    </row>
    <row r="1024" spans="1:26" ht="14.25" customHeight="1">
      <c r="A1024" s="353" t="s">
        <v>293</v>
      </c>
      <c r="B1024" s="375" t="s">
        <v>324</v>
      </c>
      <c r="C1024" s="375" t="s">
        <v>384</v>
      </c>
      <c r="D1024" s="402" t="s">
        <v>1635</v>
      </c>
      <c r="E1024" s="353">
        <v>199160</v>
      </c>
      <c r="F1024" s="353"/>
      <c r="G1024" s="353"/>
      <c r="H1024" s="353"/>
      <c r="I1024" s="353"/>
      <c r="J1024" s="353" t="s">
        <v>799</v>
      </c>
      <c r="K1024" s="353" t="s">
        <v>793</v>
      </c>
      <c r="L1024" s="353" t="s">
        <v>799</v>
      </c>
      <c r="M1024" s="353" t="s">
        <v>293</v>
      </c>
      <c r="N1024" s="353">
        <v>19.738719939999999</v>
      </c>
      <c r="O1024" s="353">
        <v>94.03549194</v>
      </c>
      <c r="P1024" s="353" t="s">
        <v>918</v>
      </c>
      <c r="Q1024" s="353" t="s">
        <v>775</v>
      </c>
      <c r="R1024" s="356"/>
      <c r="S1024" s="357"/>
      <c r="T1024" s="376" t="s">
        <v>800</v>
      </c>
      <c r="U1024" s="358"/>
      <c r="V1024" s="353" t="s">
        <v>384</v>
      </c>
      <c r="W1024" s="353"/>
      <c r="X1024" s="461"/>
      <c r="Y1024" s="457"/>
      <c r="Z1024" s="457"/>
    </row>
    <row r="1025" spans="1:26" ht="14.25" customHeight="1">
      <c r="A1025" s="353" t="s">
        <v>293</v>
      </c>
      <c r="B1025" s="375" t="s">
        <v>324</v>
      </c>
      <c r="C1025" s="375" t="s">
        <v>378</v>
      </c>
      <c r="D1025" s="402" t="s">
        <v>1635</v>
      </c>
      <c r="E1025" s="353">
        <v>199218</v>
      </c>
      <c r="F1025" s="353"/>
      <c r="G1025" s="353"/>
      <c r="H1025" s="353"/>
      <c r="I1025" s="353"/>
      <c r="J1025" s="353" t="s">
        <v>799</v>
      </c>
      <c r="K1025" s="353" t="s">
        <v>793</v>
      </c>
      <c r="L1025" s="353" t="s">
        <v>799</v>
      </c>
      <c r="M1025" s="353" t="s">
        <v>293</v>
      </c>
      <c r="N1025" s="353">
        <v>19.646549220000001</v>
      </c>
      <c r="O1025" s="353">
        <v>94.004188540000001</v>
      </c>
      <c r="P1025" s="353" t="s">
        <v>918</v>
      </c>
      <c r="Q1025" s="353" t="s">
        <v>775</v>
      </c>
      <c r="R1025" s="465"/>
      <c r="S1025" s="466"/>
      <c r="T1025" s="376" t="s">
        <v>800</v>
      </c>
      <c r="U1025" s="358"/>
      <c r="V1025" s="457" t="s">
        <v>378</v>
      </c>
      <c r="W1025" s="353"/>
      <c r="X1025" s="461"/>
      <c r="Y1025" s="457"/>
      <c r="Z1025" s="457"/>
    </row>
    <row r="1026" spans="1:26" ht="14.25" customHeight="1">
      <c r="A1026" s="353" t="s">
        <v>293</v>
      </c>
      <c r="B1026" s="375" t="s">
        <v>324</v>
      </c>
      <c r="C1026" s="375" t="s">
        <v>394</v>
      </c>
      <c r="D1026" s="402" t="s">
        <v>1635</v>
      </c>
      <c r="E1026" s="353">
        <v>199248</v>
      </c>
      <c r="F1026" s="353"/>
      <c r="G1026" s="353"/>
      <c r="H1026" s="353"/>
      <c r="I1026" s="353"/>
      <c r="J1026" s="353" t="s">
        <v>799</v>
      </c>
      <c r="K1026" s="459" t="s">
        <v>793</v>
      </c>
      <c r="L1026" s="459" t="s">
        <v>799</v>
      </c>
      <c r="M1026" s="353" t="s">
        <v>802</v>
      </c>
      <c r="N1026" s="457">
        <v>19.991359710000001</v>
      </c>
      <c r="O1026" s="457">
        <v>93.834663390000003</v>
      </c>
      <c r="P1026" s="353" t="s">
        <v>918</v>
      </c>
      <c r="Q1026" s="353" t="s">
        <v>775</v>
      </c>
      <c r="R1026" s="356"/>
      <c r="S1026" s="357"/>
      <c r="T1026" s="376" t="s">
        <v>800</v>
      </c>
      <c r="U1026" s="358"/>
      <c r="V1026" s="353" t="s">
        <v>394</v>
      </c>
      <c r="W1026" s="353"/>
      <c r="X1026" s="461"/>
      <c r="Y1026" s="457"/>
      <c r="Z1026" s="457"/>
    </row>
    <row r="1027" spans="1:26" ht="14.25" customHeight="1">
      <c r="A1027" s="353" t="s">
        <v>293</v>
      </c>
      <c r="B1027" s="375" t="s">
        <v>324</v>
      </c>
      <c r="C1027" s="375" t="s">
        <v>385</v>
      </c>
      <c r="D1027" s="402" t="s">
        <v>1635</v>
      </c>
      <c r="E1027" s="353">
        <v>199137</v>
      </c>
      <c r="F1027" s="459"/>
      <c r="G1027" s="353"/>
      <c r="H1027" s="353"/>
      <c r="I1027" s="353"/>
      <c r="J1027" s="353" t="s">
        <v>799</v>
      </c>
      <c r="K1027" s="353" t="s">
        <v>793</v>
      </c>
      <c r="L1027" s="353" t="s">
        <v>799</v>
      </c>
      <c r="M1027" s="353" t="s">
        <v>293</v>
      </c>
      <c r="N1027" s="353">
        <v>19.904430390000002</v>
      </c>
      <c r="O1027" s="353">
        <v>93.79277802</v>
      </c>
      <c r="P1027" s="353" t="s">
        <v>918</v>
      </c>
      <c r="Q1027" s="353" t="s">
        <v>775</v>
      </c>
      <c r="R1027" s="356"/>
      <c r="S1027" s="357"/>
      <c r="T1027" s="376" t="s">
        <v>800</v>
      </c>
      <c r="U1027" s="358"/>
      <c r="V1027" s="353" t="s">
        <v>385</v>
      </c>
      <c r="W1027" s="353"/>
      <c r="X1027" s="461"/>
      <c r="Y1027" s="457"/>
      <c r="Z1027" s="457"/>
    </row>
    <row r="1028" spans="1:26" ht="14.25" customHeight="1">
      <c r="A1028" s="457" t="s">
        <v>293</v>
      </c>
      <c r="B1028" s="479" t="s">
        <v>324</v>
      </c>
      <c r="C1028" s="479" t="s">
        <v>387</v>
      </c>
      <c r="D1028" s="402" t="s">
        <v>1635</v>
      </c>
      <c r="E1028" s="353">
        <v>199135</v>
      </c>
      <c r="F1028" s="353"/>
      <c r="G1028" s="353"/>
      <c r="H1028" s="353"/>
      <c r="I1028" s="353"/>
      <c r="J1028" s="353" t="s">
        <v>799</v>
      </c>
      <c r="K1028" s="353" t="s">
        <v>793</v>
      </c>
      <c r="L1028" s="353" t="s">
        <v>799</v>
      </c>
      <c r="M1028" s="353" t="s">
        <v>802</v>
      </c>
      <c r="N1028" s="353">
        <v>19.930080409999999</v>
      </c>
      <c r="O1028" s="353">
        <v>93.787002560000005</v>
      </c>
      <c r="P1028" s="353" t="s">
        <v>918</v>
      </c>
      <c r="Q1028" s="353" t="s">
        <v>775</v>
      </c>
      <c r="R1028" s="356"/>
      <c r="S1028" s="462"/>
      <c r="T1028" s="376" t="s">
        <v>800</v>
      </c>
      <c r="U1028" s="358"/>
      <c r="V1028" s="353" t="s">
        <v>387</v>
      </c>
      <c r="W1028" s="457"/>
      <c r="X1028" s="461"/>
      <c r="Y1028" s="457"/>
      <c r="Z1028" s="457"/>
    </row>
    <row r="1029" spans="1:26" ht="14.25" customHeight="1">
      <c r="A1029" s="457" t="s">
        <v>293</v>
      </c>
      <c r="B1029" s="479" t="s">
        <v>324</v>
      </c>
      <c r="C1029" s="479" t="s">
        <v>373</v>
      </c>
      <c r="D1029" s="402" t="s">
        <v>1635</v>
      </c>
      <c r="E1029" s="353">
        <v>199261</v>
      </c>
      <c r="F1029" s="353"/>
      <c r="G1029" s="353"/>
      <c r="H1029" s="353"/>
      <c r="I1029" s="353"/>
      <c r="J1029" s="353" t="s">
        <v>799</v>
      </c>
      <c r="K1029" s="353" t="s">
        <v>793</v>
      </c>
      <c r="L1029" s="353" t="s">
        <v>799</v>
      </c>
      <c r="M1029" s="353" t="s">
        <v>293</v>
      </c>
      <c r="N1029" s="353">
        <v>19.61120987</v>
      </c>
      <c r="O1029" s="353">
        <v>93.995933530000002</v>
      </c>
      <c r="P1029" s="353" t="s">
        <v>918</v>
      </c>
      <c r="Q1029" s="353" t="s">
        <v>775</v>
      </c>
      <c r="R1029" s="461"/>
      <c r="S1029" s="357"/>
      <c r="T1029" s="376" t="s">
        <v>800</v>
      </c>
      <c r="U1029" s="358"/>
      <c r="V1029" s="353" t="s">
        <v>801</v>
      </c>
      <c r="W1029" s="457"/>
      <c r="X1029" s="461"/>
      <c r="Y1029" s="457"/>
      <c r="Z1029" s="457"/>
    </row>
    <row r="1030" spans="1:26" ht="14.25" customHeight="1">
      <c r="A1030" s="479" t="s">
        <v>293</v>
      </c>
      <c r="B1030" s="479" t="s">
        <v>324</v>
      </c>
      <c r="C1030" s="479" t="s">
        <v>379</v>
      </c>
      <c r="D1030" s="402" t="s">
        <v>1635</v>
      </c>
      <c r="E1030" s="353">
        <v>199156</v>
      </c>
      <c r="F1030" s="353"/>
      <c r="G1030" s="353"/>
      <c r="H1030" s="353"/>
      <c r="I1030" s="353"/>
      <c r="J1030" s="353" t="s">
        <v>799</v>
      </c>
      <c r="K1030" s="353" t="s">
        <v>793</v>
      </c>
      <c r="L1030" s="353" t="s">
        <v>799</v>
      </c>
      <c r="M1030" s="353" t="s">
        <v>802</v>
      </c>
      <c r="N1030" s="353">
        <v>19.686580660000001</v>
      </c>
      <c r="O1030" s="353">
        <v>94.048843379999994</v>
      </c>
      <c r="P1030" s="353" t="s">
        <v>918</v>
      </c>
      <c r="Q1030" s="353" t="s">
        <v>775</v>
      </c>
      <c r="R1030" s="461"/>
      <c r="S1030" s="357"/>
      <c r="T1030" s="376" t="s">
        <v>800</v>
      </c>
      <c r="U1030" s="358"/>
      <c r="V1030" s="353" t="s">
        <v>379</v>
      </c>
      <c r="W1030" s="457"/>
      <c r="X1030" s="463"/>
      <c r="Y1030" s="457"/>
      <c r="Z1030" s="461"/>
    </row>
    <row r="1031" spans="1:26" ht="14.25" customHeight="1">
      <c r="A1031" s="479" t="s">
        <v>293</v>
      </c>
      <c r="B1031" s="479" t="s">
        <v>324</v>
      </c>
      <c r="C1031" s="479" t="s">
        <v>376</v>
      </c>
      <c r="D1031" s="402" t="s">
        <v>1635</v>
      </c>
      <c r="E1031" s="459">
        <v>199265</v>
      </c>
      <c r="F1031" s="353"/>
      <c r="G1031" s="353"/>
      <c r="H1031" s="353"/>
      <c r="I1031" s="353"/>
      <c r="J1031" s="353" t="s">
        <v>799</v>
      </c>
      <c r="K1031" s="353" t="s">
        <v>793</v>
      </c>
      <c r="L1031" s="353" t="s">
        <v>799</v>
      </c>
      <c r="M1031" s="353" t="s">
        <v>293</v>
      </c>
      <c r="N1031" s="353">
        <v>19.627199170000001</v>
      </c>
      <c r="O1031" s="353">
        <v>93.962989809999996</v>
      </c>
      <c r="P1031" s="353" t="s">
        <v>918</v>
      </c>
      <c r="Q1031" s="353" t="s">
        <v>775</v>
      </c>
      <c r="R1031" s="461"/>
      <c r="S1031" s="357"/>
      <c r="T1031" s="376" t="s">
        <v>800</v>
      </c>
      <c r="U1031" s="358"/>
      <c r="V1031" s="353" t="s">
        <v>376</v>
      </c>
      <c r="W1031" s="457"/>
      <c r="X1031" s="463"/>
      <c r="Y1031" s="457"/>
      <c r="Z1031" s="461"/>
    </row>
    <row r="1032" spans="1:26" ht="14.25" customHeight="1">
      <c r="A1032" s="479" t="s">
        <v>293</v>
      </c>
      <c r="B1032" s="479" t="s">
        <v>324</v>
      </c>
      <c r="C1032" s="479" t="s">
        <v>374</v>
      </c>
      <c r="D1032" s="402" t="s">
        <v>1635</v>
      </c>
      <c r="E1032" s="353">
        <v>199262</v>
      </c>
      <c r="F1032" s="353"/>
      <c r="G1032" s="353"/>
      <c r="H1032" s="353"/>
      <c r="I1032" s="457"/>
      <c r="J1032" s="353" t="s">
        <v>799</v>
      </c>
      <c r="K1032" s="353" t="s">
        <v>793</v>
      </c>
      <c r="L1032" s="353" t="s">
        <v>799</v>
      </c>
      <c r="M1032" s="353" t="s">
        <v>293</v>
      </c>
      <c r="N1032" s="353">
        <v>19.61580086</v>
      </c>
      <c r="O1032" s="353">
        <v>94.000473020000001</v>
      </c>
      <c r="P1032" s="353" t="s">
        <v>918</v>
      </c>
      <c r="Q1032" s="353" t="s">
        <v>775</v>
      </c>
      <c r="R1032" s="356"/>
      <c r="S1032" s="462"/>
      <c r="T1032" s="376" t="s">
        <v>800</v>
      </c>
      <c r="U1032" s="358"/>
      <c r="V1032" s="353" t="s">
        <v>374</v>
      </c>
      <c r="W1032" s="457"/>
      <c r="X1032" s="463"/>
      <c r="Y1032" s="457"/>
      <c r="Z1032" s="461"/>
    </row>
    <row r="1033" spans="1:26" ht="14.25" customHeight="1">
      <c r="A1033" s="479" t="s">
        <v>293</v>
      </c>
      <c r="B1033" s="479" t="s">
        <v>324</v>
      </c>
      <c r="C1033" s="479" t="s">
        <v>391</v>
      </c>
      <c r="D1033" s="402" t="s">
        <v>1635</v>
      </c>
      <c r="E1033" s="353">
        <v>199241</v>
      </c>
      <c r="F1033" s="353"/>
      <c r="G1033" s="353"/>
      <c r="H1033" s="353"/>
      <c r="I1033" s="353"/>
      <c r="J1033" s="353" t="s">
        <v>799</v>
      </c>
      <c r="K1033" s="353" t="s">
        <v>793</v>
      </c>
      <c r="L1033" s="353" t="s">
        <v>799</v>
      </c>
      <c r="M1033" s="353" t="s">
        <v>802</v>
      </c>
      <c r="N1033" s="353">
        <v>19.988599780000001</v>
      </c>
      <c r="O1033" s="353">
        <v>93.803939819999997</v>
      </c>
      <c r="P1033" s="353" t="s">
        <v>918</v>
      </c>
      <c r="Q1033" s="353" t="s">
        <v>775</v>
      </c>
      <c r="R1033" s="461"/>
      <c r="S1033" s="357"/>
      <c r="T1033" s="376" t="s">
        <v>800</v>
      </c>
      <c r="U1033" s="358"/>
      <c r="V1033" s="348" t="s">
        <v>808</v>
      </c>
      <c r="W1033" s="457"/>
      <c r="X1033" s="463"/>
      <c r="Y1033" s="457"/>
      <c r="Z1033" s="461"/>
    </row>
    <row r="1034" spans="1:26" ht="14.25" customHeight="1">
      <c r="A1034" s="479" t="s">
        <v>293</v>
      </c>
      <c r="B1034" s="479" t="s">
        <v>324</v>
      </c>
      <c r="C1034" s="479" t="s">
        <v>389</v>
      </c>
      <c r="D1034" s="402" t="s">
        <v>1635</v>
      </c>
      <c r="E1034" s="353">
        <v>220838</v>
      </c>
      <c r="F1034" s="353"/>
      <c r="G1034" s="353"/>
      <c r="H1034" s="353"/>
      <c r="I1034" s="353"/>
      <c r="J1034" s="353" t="s">
        <v>799</v>
      </c>
      <c r="K1034" s="353" t="s">
        <v>793</v>
      </c>
      <c r="L1034" s="353" t="s">
        <v>799</v>
      </c>
      <c r="M1034" s="353" t="s">
        <v>802</v>
      </c>
      <c r="N1034" s="473">
        <v>19.962713239999999</v>
      </c>
      <c r="O1034" s="473">
        <v>93.885574340000005</v>
      </c>
      <c r="P1034" s="353" t="s">
        <v>918</v>
      </c>
      <c r="Q1034" s="353" t="s">
        <v>775</v>
      </c>
      <c r="R1034" s="461"/>
      <c r="S1034" s="357"/>
      <c r="T1034" s="376" t="s">
        <v>800</v>
      </c>
      <c r="U1034" s="358"/>
      <c r="V1034" s="353" t="s">
        <v>389</v>
      </c>
      <c r="W1034" s="457"/>
      <c r="X1034" s="463"/>
      <c r="Y1034" s="457"/>
      <c r="Z1034" s="461"/>
    </row>
    <row r="1035" spans="1:26" ht="14.25" customHeight="1">
      <c r="A1035" s="479" t="s">
        <v>293</v>
      </c>
      <c r="B1035" s="479" t="s">
        <v>324</v>
      </c>
      <c r="C1035" s="479" t="s">
        <v>386</v>
      </c>
      <c r="D1035" s="402" t="s">
        <v>1635</v>
      </c>
      <c r="E1035" s="353">
        <v>199133</v>
      </c>
      <c r="F1035" s="353"/>
      <c r="G1035" s="353"/>
      <c r="H1035" s="353"/>
      <c r="I1035" s="457"/>
      <c r="J1035" s="353" t="s">
        <v>799</v>
      </c>
      <c r="K1035" s="353" t="s">
        <v>793</v>
      </c>
      <c r="L1035" s="353" t="s">
        <v>799</v>
      </c>
      <c r="M1035" s="353" t="s">
        <v>293</v>
      </c>
      <c r="N1035" s="353">
        <v>19.925739289999999</v>
      </c>
      <c r="O1035" s="353">
        <v>93.792991639999997</v>
      </c>
      <c r="P1035" s="353" t="s">
        <v>918</v>
      </c>
      <c r="Q1035" s="353" t="s">
        <v>775</v>
      </c>
      <c r="R1035" s="356"/>
      <c r="S1035" s="462"/>
      <c r="T1035" s="376" t="s">
        <v>800</v>
      </c>
      <c r="U1035" s="358"/>
      <c r="V1035" s="353" t="s">
        <v>804</v>
      </c>
      <c r="W1035" s="457"/>
      <c r="X1035" s="463"/>
      <c r="Y1035" s="457"/>
      <c r="Z1035" s="461"/>
    </row>
    <row r="1036" spans="1:26" ht="14.25" customHeight="1">
      <c r="A1036" s="420" t="s">
        <v>697</v>
      </c>
      <c r="B1036" s="380" t="s">
        <v>716</v>
      </c>
      <c r="C1036" s="420" t="s">
        <v>717</v>
      </c>
      <c r="D1036" s="402" t="s">
        <v>2799</v>
      </c>
      <c r="E1036" s="353" t="s">
        <v>1408</v>
      </c>
      <c r="F1036" s="353" t="s">
        <v>717</v>
      </c>
      <c r="G1036" s="353" t="s">
        <v>717</v>
      </c>
      <c r="H1036" s="353" t="s">
        <v>41</v>
      </c>
      <c r="I1036" s="353" t="s">
        <v>2642</v>
      </c>
      <c r="J1036" s="353" t="s">
        <v>43</v>
      </c>
      <c r="K1036" s="353" t="s">
        <v>43</v>
      </c>
      <c r="L1036" s="353" t="s">
        <v>43</v>
      </c>
      <c r="M1036" s="353" t="s">
        <v>44</v>
      </c>
      <c r="N1036" s="353">
        <v>23.354268999999999</v>
      </c>
      <c r="O1036" s="353">
        <v>98.218626999999998</v>
      </c>
      <c r="P1036" s="353" t="s">
        <v>756</v>
      </c>
      <c r="Q1036" s="353" t="s">
        <v>775</v>
      </c>
      <c r="R1036" s="356"/>
      <c r="S1036" s="462"/>
      <c r="T1036" s="376"/>
      <c r="U1036" s="358"/>
      <c r="V1036" s="353" t="s">
        <v>717</v>
      </c>
      <c r="W1036" s="349" t="s">
        <v>2155</v>
      </c>
      <c r="X1036" s="463"/>
      <c r="Y1036" s="457"/>
      <c r="Z1036" s="461"/>
    </row>
    <row r="1037" spans="1:26" ht="14.25" customHeight="1">
      <c r="A1037" s="420" t="s">
        <v>697</v>
      </c>
      <c r="B1037" s="380" t="s">
        <v>716</v>
      </c>
      <c r="C1037" s="420" t="s">
        <v>740</v>
      </c>
      <c r="D1037" s="355" t="s">
        <v>1713</v>
      </c>
      <c r="E1037" s="353" t="s">
        <v>1409</v>
      </c>
      <c r="F1037" s="353" t="s">
        <v>1740</v>
      </c>
      <c r="G1037" s="353" t="s">
        <v>1740</v>
      </c>
      <c r="H1037" s="353"/>
      <c r="I1037" s="353" t="s">
        <v>2104</v>
      </c>
      <c r="J1037" s="353" t="s">
        <v>43</v>
      </c>
      <c r="K1037" s="353" t="s">
        <v>963</v>
      </c>
      <c r="L1037" s="353" t="s">
        <v>755</v>
      </c>
      <c r="M1037" s="353" t="s">
        <v>773</v>
      </c>
      <c r="N1037" s="353">
        <v>23.372409999999999</v>
      </c>
      <c r="O1037" s="353">
        <v>98.352670000000003</v>
      </c>
      <c r="P1037" s="353" t="s">
        <v>768</v>
      </c>
      <c r="Q1037" s="353" t="s">
        <v>775</v>
      </c>
      <c r="R1037" s="364"/>
      <c r="S1037" s="357"/>
      <c r="T1037" s="376">
        <v>43276</v>
      </c>
      <c r="U1037" s="358" t="s">
        <v>1956</v>
      </c>
      <c r="V1037" s="353" t="s">
        <v>740</v>
      </c>
      <c r="W1037" s="349" t="s">
        <v>2156</v>
      </c>
      <c r="X1037" s="463"/>
      <c r="Y1037" s="457"/>
      <c r="Z1037" s="461"/>
    </row>
    <row r="1038" spans="1:26" ht="14.25" customHeight="1">
      <c r="A1038" s="420" t="s">
        <v>697</v>
      </c>
      <c r="B1038" s="380" t="s">
        <v>716</v>
      </c>
      <c r="C1038" s="420" t="s">
        <v>746</v>
      </c>
      <c r="D1038" s="355" t="s">
        <v>1636</v>
      </c>
      <c r="E1038" s="353" t="s">
        <v>1407</v>
      </c>
      <c r="F1038" s="353" t="s">
        <v>1647</v>
      </c>
      <c r="G1038" s="353" t="s">
        <v>1647</v>
      </c>
      <c r="H1038" s="353"/>
      <c r="I1038" s="353">
        <v>0</v>
      </c>
      <c r="J1038" s="353" t="s">
        <v>43</v>
      </c>
      <c r="K1038" s="353" t="s">
        <v>43</v>
      </c>
      <c r="L1038" s="353" t="s">
        <v>755</v>
      </c>
      <c r="M1038" s="353" t="s">
        <v>44</v>
      </c>
      <c r="N1038" s="353">
        <v>23.353999999999999</v>
      </c>
      <c r="O1038" s="353">
        <v>98.221000000000004</v>
      </c>
      <c r="P1038" s="353" t="s">
        <v>756</v>
      </c>
      <c r="Q1038" s="353" t="s">
        <v>757</v>
      </c>
      <c r="R1038" s="364"/>
      <c r="S1038" s="357"/>
      <c r="T1038" s="376"/>
      <c r="U1038" s="358"/>
      <c r="V1038" s="353"/>
      <c r="W1038" s="349" t="s">
        <v>2157</v>
      </c>
      <c r="X1038" s="463"/>
      <c r="Y1038" s="457"/>
      <c r="Z1038" s="461"/>
    </row>
    <row r="1039" spans="1:26" ht="14.25" customHeight="1">
      <c r="A1039" s="420" t="s">
        <v>697</v>
      </c>
      <c r="B1039" s="380" t="s">
        <v>738</v>
      </c>
      <c r="C1039" s="420" t="s">
        <v>2619</v>
      </c>
      <c r="D1039" s="460"/>
      <c r="E1039" s="353"/>
      <c r="F1039" s="353"/>
      <c r="G1039" s="353"/>
      <c r="H1039" s="353"/>
      <c r="I1039" s="353"/>
      <c r="J1039" s="353" t="s">
        <v>2632</v>
      </c>
      <c r="K1039" s="353" t="s">
        <v>2600</v>
      </c>
      <c r="L1039" s="353" t="s">
        <v>2600</v>
      </c>
      <c r="M1039" s="353" t="s">
        <v>44</v>
      </c>
      <c r="N1039" s="353"/>
      <c r="O1039" s="353"/>
      <c r="P1039" s="353" t="s">
        <v>1962</v>
      </c>
      <c r="Q1039" s="353"/>
      <c r="R1039" s="469"/>
      <c r="S1039" s="462"/>
      <c r="T1039" s="376">
        <v>43567</v>
      </c>
      <c r="U1039" s="358"/>
      <c r="V1039" s="353"/>
      <c r="W1039" s="461"/>
      <c r="X1039" s="463"/>
      <c r="Y1039" s="457"/>
      <c r="Z1039" s="461"/>
    </row>
    <row r="1040" spans="1:26" ht="14.25" customHeight="1">
      <c r="A1040" s="420" t="s">
        <v>697</v>
      </c>
      <c r="B1040" s="380" t="s">
        <v>738</v>
      </c>
      <c r="C1040" s="420" t="s">
        <v>739</v>
      </c>
      <c r="D1040" s="402" t="s">
        <v>2799</v>
      </c>
      <c r="E1040" s="353" t="s">
        <v>1399</v>
      </c>
      <c r="F1040" s="353" t="s">
        <v>1736</v>
      </c>
      <c r="G1040" s="353" t="s">
        <v>1737</v>
      </c>
      <c r="H1040" s="353"/>
      <c r="I1040" s="459" t="s">
        <v>2104</v>
      </c>
      <c r="J1040" s="353" t="s">
        <v>43</v>
      </c>
      <c r="K1040" s="353" t="s">
        <v>43</v>
      </c>
      <c r="L1040" s="353" t="s">
        <v>771</v>
      </c>
      <c r="M1040" s="353" t="s">
        <v>44</v>
      </c>
      <c r="N1040" s="353">
        <v>22.677008000000001</v>
      </c>
      <c r="O1040" s="353">
        <v>97.314762999999999</v>
      </c>
      <c r="P1040" s="353" t="s">
        <v>756</v>
      </c>
      <c r="Q1040" s="353" t="s">
        <v>757</v>
      </c>
      <c r="R1040" s="356"/>
      <c r="S1040" s="462"/>
      <c r="T1040" s="376"/>
      <c r="U1040" s="358" t="s">
        <v>957</v>
      </c>
      <c r="V1040" s="353" t="s">
        <v>958</v>
      </c>
      <c r="W1040" s="349" t="s">
        <v>2158</v>
      </c>
      <c r="X1040" s="463"/>
      <c r="Y1040" s="457"/>
      <c r="Z1040" s="461"/>
    </row>
    <row r="1041" spans="1:26" ht="14.25" customHeight="1">
      <c r="A1041" s="420" t="s">
        <v>697</v>
      </c>
      <c r="B1041" s="380" t="s">
        <v>738</v>
      </c>
      <c r="C1041" s="420" t="s">
        <v>2620</v>
      </c>
      <c r="D1041" s="460"/>
      <c r="E1041" s="353"/>
      <c r="F1041" s="353"/>
      <c r="G1041" s="353"/>
      <c r="H1041" s="353"/>
      <c r="I1041" s="353"/>
      <c r="J1041" s="353" t="s">
        <v>2632</v>
      </c>
      <c r="K1041" s="353" t="s">
        <v>2600</v>
      </c>
      <c r="L1041" s="353" t="s">
        <v>2600</v>
      </c>
      <c r="M1041" s="353" t="s">
        <v>44</v>
      </c>
      <c r="N1041" s="353"/>
      <c r="O1041" s="353"/>
      <c r="P1041" s="353" t="s">
        <v>1962</v>
      </c>
      <c r="Q1041" s="353"/>
      <c r="R1041" s="469"/>
      <c r="S1041" s="462"/>
      <c r="T1041" s="376">
        <v>43567</v>
      </c>
      <c r="U1041" s="358"/>
      <c r="V1041" s="353"/>
      <c r="W1041" s="461"/>
      <c r="X1041" s="463"/>
      <c r="Y1041" s="457"/>
      <c r="Z1041" s="461"/>
    </row>
    <row r="1042" spans="1:26" ht="14.25" customHeight="1">
      <c r="A1042" s="420" t="s">
        <v>697</v>
      </c>
      <c r="B1042" s="380" t="s">
        <v>738</v>
      </c>
      <c r="C1042" s="420" t="s">
        <v>2621</v>
      </c>
      <c r="D1042" s="355"/>
      <c r="E1042" s="353"/>
      <c r="F1042" s="353"/>
      <c r="G1042" s="353"/>
      <c r="H1042" s="353"/>
      <c r="I1042" s="353"/>
      <c r="J1042" s="353" t="s">
        <v>2632</v>
      </c>
      <c r="K1042" s="353" t="s">
        <v>2600</v>
      </c>
      <c r="L1042" s="353" t="s">
        <v>2600</v>
      </c>
      <c r="M1042" s="353" t="s">
        <v>44</v>
      </c>
      <c r="N1042" s="353"/>
      <c r="O1042" s="353"/>
      <c r="P1042" s="353" t="s">
        <v>1962</v>
      </c>
      <c r="Q1042" s="353"/>
      <c r="R1042" s="364"/>
      <c r="S1042" s="357"/>
      <c r="T1042" s="376">
        <v>43567</v>
      </c>
      <c r="U1042" s="358"/>
      <c r="V1042" s="353"/>
      <c r="W1042" s="356"/>
      <c r="X1042" s="463"/>
      <c r="Y1042" s="457"/>
      <c r="Z1042" s="461"/>
    </row>
    <row r="1043" spans="1:26" ht="14.25" customHeight="1">
      <c r="A1043" s="420" t="s">
        <v>697</v>
      </c>
      <c r="B1043" s="380" t="s">
        <v>701</v>
      </c>
      <c r="C1043" s="420" t="s">
        <v>2220</v>
      </c>
      <c r="D1043" s="402" t="s">
        <v>2799</v>
      </c>
      <c r="E1043" s="353" t="s">
        <v>2221</v>
      </c>
      <c r="F1043" s="353" t="s">
        <v>2222</v>
      </c>
      <c r="G1043" s="353" t="s">
        <v>2222</v>
      </c>
      <c r="H1043" s="353"/>
      <c r="I1043" s="459" t="s">
        <v>2104</v>
      </c>
      <c r="J1043" s="353" t="s">
        <v>43</v>
      </c>
      <c r="K1043" s="353" t="s">
        <v>43</v>
      </c>
      <c r="L1043" s="353" t="s">
        <v>771</v>
      </c>
      <c r="M1043" s="353" t="s">
        <v>44</v>
      </c>
      <c r="N1043" s="353">
        <v>0</v>
      </c>
      <c r="O1043" s="353">
        <v>0</v>
      </c>
      <c r="P1043" s="353" t="s">
        <v>756</v>
      </c>
      <c r="Q1043" s="353" t="s">
        <v>2223</v>
      </c>
      <c r="R1043" s="356"/>
      <c r="S1043" s="462"/>
      <c r="T1043" s="376">
        <v>43405</v>
      </c>
      <c r="U1043" s="358" t="s">
        <v>2224</v>
      </c>
      <c r="V1043" s="353" t="s">
        <v>2220</v>
      </c>
      <c r="W1043" s="349" t="s">
        <v>2225</v>
      </c>
      <c r="X1043" s="463"/>
      <c r="Y1043" s="457"/>
      <c r="Z1043" s="461"/>
    </row>
    <row r="1044" spans="1:26" ht="14.25" customHeight="1">
      <c r="A1044" s="420" t="s">
        <v>697</v>
      </c>
      <c r="B1044" s="380" t="s">
        <v>701</v>
      </c>
      <c r="C1044" s="420" t="s">
        <v>2226</v>
      </c>
      <c r="D1044" s="402" t="s">
        <v>2799</v>
      </c>
      <c r="E1044" s="353" t="s">
        <v>2227</v>
      </c>
      <c r="F1044" s="353" t="s">
        <v>2228</v>
      </c>
      <c r="G1044" s="353"/>
      <c r="H1044" s="353" t="s">
        <v>41</v>
      </c>
      <c r="I1044" s="457" t="s">
        <v>1314</v>
      </c>
      <c r="J1044" s="353" t="s">
        <v>43</v>
      </c>
      <c r="K1044" s="353" t="s">
        <v>43</v>
      </c>
      <c r="L1044" s="353" t="s">
        <v>43</v>
      </c>
      <c r="M1044" s="353" t="s">
        <v>44</v>
      </c>
      <c r="N1044" s="353">
        <v>0</v>
      </c>
      <c r="O1044" s="353">
        <v>0</v>
      </c>
      <c r="P1044" s="353" t="s">
        <v>756</v>
      </c>
      <c r="Q1044" s="353" t="s">
        <v>2223</v>
      </c>
      <c r="R1044" s="356"/>
      <c r="S1044" s="462"/>
      <c r="T1044" s="376"/>
      <c r="U1044" s="358" t="s">
        <v>2229</v>
      </c>
      <c r="V1044" s="353" t="s">
        <v>2226</v>
      </c>
      <c r="W1044" s="349" t="s">
        <v>2232</v>
      </c>
      <c r="X1044" s="463"/>
      <c r="Y1044" s="457"/>
      <c r="Z1044" s="461"/>
    </row>
    <row r="1045" spans="1:26" ht="14.25" customHeight="1">
      <c r="A1045" s="420" t="s">
        <v>697</v>
      </c>
      <c r="B1045" s="380" t="s">
        <v>701</v>
      </c>
      <c r="C1045" s="420" t="s">
        <v>722</v>
      </c>
      <c r="D1045" s="460" t="s">
        <v>1636</v>
      </c>
      <c r="E1045" s="353" t="s">
        <v>1412</v>
      </c>
      <c r="F1045" s="353" t="s">
        <v>1648</v>
      </c>
      <c r="G1045" s="353" t="s">
        <v>1649</v>
      </c>
      <c r="H1045" s="353" t="s">
        <v>41</v>
      </c>
      <c r="I1045" s="353" t="s">
        <v>130</v>
      </c>
      <c r="J1045" s="353" t="s">
        <v>43</v>
      </c>
      <c r="K1045" s="353" t="s">
        <v>963</v>
      </c>
      <c r="L1045" s="353" t="s">
        <v>755</v>
      </c>
      <c r="M1045" s="353" t="s">
        <v>44</v>
      </c>
      <c r="N1045" s="353">
        <v>23.4008</v>
      </c>
      <c r="O1045" s="353">
        <v>97.848529999999997</v>
      </c>
      <c r="P1045" s="353" t="s">
        <v>756</v>
      </c>
      <c r="Q1045" s="353" t="s">
        <v>775</v>
      </c>
      <c r="R1045" s="469"/>
      <c r="S1045" s="462"/>
      <c r="T1045" s="376">
        <v>43049</v>
      </c>
      <c r="U1045" s="358" t="s">
        <v>965</v>
      </c>
      <c r="V1045" s="353" t="s">
        <v>722</v>
      </c>
      <c r="W1045" s="349" t="s">
        <v>2159</v>
      </c>
      <c r="X1045" s="463"/>
      <c r="Y1045" s="457"/>
      <c r="Z1045" s="461"/>
    </row>
    <row r="1046" spans="1:26" ht="14.25" customHeight="1">
      <c r="A1046" s="420" t="s">
        <v>697</v>
      </c>
      <c r="B1046" s="380" t="s">
        <v>701</v>
      </c>
      <c r="C1046" s="420" t="s">
        <v>1099</v>
      </c>
      <c r="D1046" s="355" t="s">
        <v>1635</v>
      </c>
      <c r="E1046" s="353"/>
      <c r="F1046" s="353"/>
      <c r="G1046" s="353"/>
      <c r="H1046" s="353"/>
      <c r="I1046" s="353"/>
      <c r="J1046" s="353" t="s">
        <v>1443</v>
      </c>
      <c r="K1046" s="353" t="s">
        <v>43</v>
      </c>
      <c r="L1046" s="353" t="s">
        <v>1094</v>
      </c>
      <c r="M1046" s="353" t="s">
        <v>44</v>
      </c>
      <c r="N1046" s="353"/>
      <c r="O1046" s="353"/>
      <c r="P1046" s="353" t="s">
        <v>756</v>
      </c>
      <c r="Q1046" s="353" t="s">
        <v>775</v>
      </c>
      <c r="R1046" s="364"/>
      <c r="S1046" s="357"/>
      <c r="T1046" s="376"/>
      <c r="U1046" s="358" t="s">
        <v>1090</v>
      </c>
      <c r="V1046" s="353" t="s">
        <v>1099</v>
      </c>
      <c r="W1046" s="356"/>
      <c r="X1046" s="463"/>
      <c r="Y1046" s="457"/>
      <c r="Z1046" s="461"/>
    </row>
    <row r="1047" spans="1:26" ht="14.25" customHeight="1">
      <c r="A1047" s="420" t="s">
        <v>697</v>
      </c>
      <c r="B1047" s="380" t="s">
        <v>701</v>
      </c>
      <c r="C1047" s="420" t="s">
        <v>723</v>
      </c>
      <c r="D1047" s="402" t="s">
        <v>2799</v>
      </c>
      <c r="E1047" s="353" t="s">
        <v>1414</v>
      </c>
      <c r="F1047" s="353" t="s">
        <v>1741</v>
      </c>
      <c r="G1047" s="353" t="s">
        <v>1742</v>
      </c>
      <c r="H1047" s="353" t="s">
        <v>41</v>
      </c>
      <c r="I1047" s="457" t="s">
        <v>2642</v>
      </c>
      <c r="J1047" s="353" t="s">
        <v>43</v>
      </c>
      <c r="K1047" s="353" t="s">
        <v>43</v>
      </c>
      <c r="L1047" s="353" t="s">
        <v>43</v>
      </c>
      <c r="M1047" s="353" t="s">
        <v>44</v>
      </c>
      <c r="N1047" s="353">
        <v>23.450914000000001</v>
      </c>
      <c r="O1047" s="353">
        <v>97.926813999999993</v>
      </c>
      <c r="P1047" s="353" t="s">
        <v>756</v>
      </c>
      <c r="Q1047" s="353" t="s">
        <v>775</v>
      </c>
      <c r="R1047" s="356"/>
      <c r="S1047" s="462"/>
      <c r="T1047" s="376"/>
      <c r="U1047" s="358"/>
      <c r="V1047" s="353" t="s">
        <v>723</v>
      </c>
      <c r="W1047" s="349" t="s">
        <v>2160</v>
      </c>
      <c r="X1047" s="463"/>
      <c r="Y1047" s="457"/>
      <c r="Z1047" s="461"/>
    </row>
    <row r="1048" spans="1:26" ht="14.25" customHeight="1">
      <c r="A1048" s="420" t="s">
        <v>697</v>
      </c>
      <c r="B1048" s="380" t="s">
        <v>701</v>
      </c>
      <c r="C1048" s="420" t="s">
        <v>728</v>
      </c>
      <c r="D1048" s="402" t="s">
        <v>2799</v>
      </c>
      <c r="E1048" s="353" t="s">
        <v>1415</v>
      </c>
      <c r="F1048" s="353" t="s">
        <v>1741</v>
      </c>
      <c r="G1048" s="353" t="s">
        <v>1640</v>
      </c>
      <c r="H1048" s="353" t="s">
        <v>41</v>
      </c>
      <c r="I1048" s="353" t="s">
        <v>2642</v>
      </c>
      <c r="J1048" s="353" t="s">
        <v>43</v>
      </c>
      <c r="K1048" s="353" t="s">
        <v>43</v>
      </c>
      <c r="L1048" s="353" t="s">
        <v>43</v>
      </c>
      <c r="M1048" s="353" t="s">
        <v>44</v>
      </c>
      <c r="N1048" s="353">
        <v>23.460349999999998</v>
      </c>
      <c r="O1048" s="353">
        <v>97.947360000000003</v>
      </c>
      <c r="P1048" s="353" t="s">
        <v>756</v>
      </c>
      <c r="Q1048" s="353" t="s">
        <v>757</v>
      </c>
      <c r="R1048" s="356"/>
      <c r="S1048" s="462"/>
      <c r="T1048" s="376">
        <v>42836</v>
      </c>
      <c r="U1048" s="358" t="s">
        <v>966</v>
      </c>
      <c r="V1048" s="353"/>
      <c r="W1048" s="349" t="s">
        <v>2161</v>
      </c>
      <c r="X1048" s="463"/>
      <c r="Y1048" s="457"/>
      <c r="Z1048" s="461"/>
    </row>
    <row r="1049" spans="1:26" ht="14.25" customHeight="1">
      <c r="A1049" s="420" t="s">
        <v>697</v>
      </c>
      <c r="B1049" s="380" t="s">
        <v>701</v>
      </c>
      <c r="C1049" s="420" t="s">
        <v>702</v>
      </c>
      <c r="D1049" s="402" t="s">
        <v>2799</v>
      </c>
      <c r="E1049" s="353" t="s">
        <v>1416</v>
      </c>
      <c r="F1049" s="353" t="s">
        <v>1741</v>
      </c>
      <c r="G1049" s="353" t="s">
        <v>1743</v>
      </c>
      <c r="H1049" s="353" t="s">
        <v>41</v>
      </c>
      <c r="I1049" s="353" t="s">
        <v>1314</v>
      </c>
      <c r="J1049" s="353" t="s">
        <v>43</v>
      </c>
      <c r="K1049" s="353" t="s">
        <v>43</v>
      </c>
      <c r="L1049" s="353" t="s">
        <v>43</v>
      </c>
      <c r="M1049" s="353" t="s">
        <v>44</v>
      </c>
      <c r="N1049" s="353">
        <v>23.460349999999998</v>
      </c>
      <c r="O1049" s="353">
        <v>97.947360000000003</v>
      </c>
      <c r="P1049" s="353" t="s">
        <v>756</v>
      </c>
      <c r="Q1049" s="353" t="s">
        <v>775</v>
      </c>
      <c r="R1049" s="356"/>
      <c r="S1049" s="462"/>
      <c r="T1049" s="376"/>
      <c r="U1049" s="358"/>
      <c r="V1049" s="353" t="s">
        <v>702</v>
      </c>
      <c r="W1049" s="349" t="s">
        <v>2162</v>
      </c>
      <c r="X1049" s="463"/>
      <c r="Y1049" s="457"/>
      <c r="Z1049" s="461"/>
    </row>
    <row r="1050" spans="1:26" ht="14.25" customHeight="1">
      <c r="A1050" s="420" t="s">
        <v>697</v>
      </c>
      <c r="B1050" s="380" t="s">
        <v>701</v>
      </c>
      <c r="C1050" s="420" t="s">
        <v>747</v>
      </c>
      <c r="D1050" s="355" t="s">
        <v>1635</v>
      </c>
      <c r="E1050" s="353"/>
      <c r="F1050" s="353"/>
      <c r="G1050" s="353"/>
      <c r="H1050" s="353"/>
      <c r="I1050" s="353"/>
      <c r="J1050" s="353" t="s">
        <v>1443</v>
      </c>
      <c r="K1050" s="353" t="s">
        <v>43</v>
      </c>
      <c r="L1050" s="353" t="s">
        <v>43</v>
      </c>
      <c r="M1050" s="353" t="s">
        <v>44</v>
      </c>
      <c r="N1050" s="353"/>
      <c r="O1050" s="353"/>
      <c r="P1050" s="353" t="s">
        <v>756</v>
      </c>
      <c r="Q1050" s="353" t="s">
        <v>775</v>
      </c>
      <c r="R1050" s="364"/>
      <c r="S1050" s="357"/>
      <c r="T1050" s="376">
        <v>42747</v>
      </c>
      <c r="U1050" s="358"/>
      <c r="V1050" s="353"/>
      <c r="W1050" s="356"/>
      <c r="X1050" s="463"/>
      <c r="Y1050" s="457"/>
      <c r="Z1050" s="461"/>
    </row>
    <row r="1051" spans="1:26" ht="14.25" customHeight="1">
      <c r="A1051" s="420" t="s">
        <v>697</v>
      </c>
      <c r="B1051" s="380" t="s">
        <v>701</v>
      </c>
      <c r="C1051" s="420" t="s">
        <v>2101</v>
      </c>
      <c r="D1051" s="402" t="s">
        <v>2799</v>
      </c>
      <c r="E1051" s="353" t="s">
        <v>1419</v>
      </c>
      <c r="F1051" s="353" t="s">
        <v>1746</v>
      </c>
      <c r="G1051" s="353" t="s">
        <v>1746</v>
      </c>
      <c r="H1051" s="353" t="s">
        <v>41</v>
      </c>
      <c r="I1051" s="353" t="s">
        <v>1314</v>
      </c>
      <c r="J1051" s="353" t="s">
        <v>43</v>
      </c>
      <c r="K1051" s="353" t="s">
        <v>43</v>
      </c>
      <c r="L1051" s="353" t="s">
        <v>43</v>
      </c>
      <c r="M1051" s="353" t="s">
        <v>44</v>
      </c>
      <c r="N1051" s="353">
        <v>23.591999999999999</v>
      </c>
      <c r="O1051" s="353">
        <v>97.796999999999997</v>
      </c>
      <c r="P1051" s="353" t="s">
        <v>756</v>
      </c>
      <c r="Q1051" s="353" t="s">
        <v>775</v>
      </c>
      <c r="R1051" s="356"/>
      <c r="S1051" s="462"/>
      <c r="T1051" s="376" t="s">
        <v>800</v>
      </c>
      <c r="U1051" s="358"/>
      <c r="V1051" s="353"/>
      <c r="W1051" s="349" t="s">
        <v>2163</v>
      </c>
      <c r="X1051" s="463"/>
      <c r="Y1051" s="457"/>
      <c r="Z1051" s="461"/>
    </row>
    <row r="1052" spans="1:26" ht="14.25" customHeight="1">
      <c r="A1052" s="420" t="s">
        <v>697</v>
      </c>
      <c r="B1052" s="380" t="s">
        <v>701</v>
      </c>
      <c r="C1052" s="420" t="s">
        <v>736</v>
      </c>
      <c r="D1052" s="402" t="s">
        <v>2799</v>
      </c>
      <c r="E1052" s="353" t="s">
        <v>1605</v>
      </c>
      <c r="F1052" s="353" t="s">
        <v>1829</v>
      </c>
      <c r="G1052" s="353" t="s">
        <v>736</v>
      </c>
      <c r="H1052" s="353"/>
      <c r="I1052" s="459" t="s">
        <v>2104</v>
      </c>
      <c r="J1052" s="353" t="s">
        <v>43</v>
      </c>
      <c r="K1052" s="353" t="s">
        <v>43</v>
      </c>
      <c r="L1052" s="353" t="s">
        <v>771</v>
      </c>
      <c r="M1052" s="353" t="s">
        <v>44</v>
      </c>
      <c r="N1052" s="353">
        <v>0</v>
      </c>
      <c r="O1052" s="353">
        <v>0</v>
      </c>
      <c r="P1052" s="353" t="s">
        <v>756</v>
      </c>
      <c r="Q1052" s="353" t="s">
        <v>797</v>
      </c>
      <c r="R1052" s="356"/>
      <c r="S1052" s="462"/>
      <c r="T1052" s="376" t="s">
        <v>1078</v>
      </c>
      <c r="U1052" s="358"/>
      <c r="V1052" s="353"/>
      <c r="W1052" s="349" t="s">
        <v>2164</v>
      </c>
      <c r="X1052" s="463"/>
      <c r="Y1052" s="457"/>
      <c r="Z1052" s="461"/>
    </row>
    <row r="1053" spans="1:26" ht="14.25" customHeight="1">
      <c r="A1053" s="420" t="s">
        <v>697</v>
      </c>
      <c r="B1053" s="380" t="s">
        <v>701</v>
      </c>
      <c r="C1053" s="420" t="s">
        <v>2102</v>
      </c>
      <c r="D1053" s="402" t="s">
        <v>2799</v>
      </c>
      <c r="E1053" s="353" t="s">
        <v>1418</v>
      </c>
      <c r="F1053" s="353" t="s">
        <v>1746</v>
      </c>
      <c r="G1053" s="353" t="s">
        <v>1746</v>
      </c>
      <c r="H1053" s="353" t="s">
        <v>41</v>
      </c>
      <c r="I1053" s="353" t="s">
        <v>1314</v>
      </c>
      <c r="J1053" s="353" t="s">
        <v>43</v>
      </c>
      <c r="K1053" s="353" t="s">
        <v>963</v>
      </c>
      <c r="L1053" s="353" t="s">
        <v>43</v>
      </c>
      <c r="M1053" s="353" t="s">
        <v>44</v>
      </c>
      <c r="N1053" s="353">
        <v>23.588920000000002</v>
      </c>
      <c r="O1053" s="353">
        <v>97.793019999999999</v>
      </c>
      <c r="P1053" s="353" t="s">
        <v>756</v>
      </c>
      <c r="Q1053" s="353" t="s">
        <v>775</v>
      </c>
      <c r="R1053" s="356"/>
      <c r="S1053" s="462"/>
      <c r="T1053" s="376"/>
      <c r="U1053" s="358"/>
      <c r="V1053" s="353" t="s">
        <v>731</v>
      </c>
      <c r="W1053" s="349" t="s">
        <v>2165</v>
      </c>
      <c r="X1053" s="463"/>
      <c r="Y1053" s="457"/>
      <c r="Z1053" s="461"/>
    </row>
    <row r="1054" spans="1:26" ht="14.25" customHeight="1">
      <c r="A1054" s="420" t="s">
        <v>697</v>
      </c>
      <c r="B1054" s="380" t="s">
        <v>701</v>
      </c>
      <c r="C1054" s="420" t="s">
        <v>1111</v>
      </c>
      <c r="D1054" s="460" t="s">
        <v>1635</v>
      </c>
      <c r="E1054" s="353"/>
      <c r="F1054" s="353"/>
      <c r="G1054" s="353"/>
      <c r="H1054" s="353"/>
      <c r="I1054" s="353"/>
      <c r="J1054" s="353" t="s">
        <v>1443</v>
      </c>
      <c r="K1054" s="353" t="s">
        <v>43</v>
      </c>
      <c r="L1054" s="353" t="s">
        <v>43</v>
      </c>
      <c r="M1054" s="353" t="s">
        <v>44</v>
      </c>
      <c r="N1054" s="353"/>
      <c r="O1054" s="353"/>
      <c r="P1054" s="353" t="s">
        <v>756</v>
      </c>
      <c r="Q1054" s="353" t="s">
        <v>775</v>
      </c>
      <c r="R1054" s="469"/>
      <c r="S1054" s="462"/>
      <c r="T1054" s="376"/>
      <c r="U1054" s="358" t="s">
        <v>1090</v>
      </c>
      <c r="V1054" s="353"/>
      <c r="W1054" s="461"/>
      <c r="X1054" s="463"/>
      <c r="Y1054" s="457"/>
      <c r="Z1054" s="461"/>
    </row>
    <row r="1055" spans="1:26" ht="14.25" customHeight="1">
      <c r="A1055" s="420" t="s">
        <v>697</v>
      </c>
      <c r="B1055" s="380" t="s">
        <v>701</v>
      </c>
      <c r="C1055" s="420" t="s">
        <v>727</v>
      </c>
      <c r="D1055" s="402" t="s">
        <v>2799</v>
      </c>
      <c r="E1055" s="353" t="s">
        <v>1436</v>
      </c>
      <c r="F1055" s="353" t="s">
        <v>1750</v>
      </c>
      <c r="G1055" s="353" t="s">
        <v>1751</v>
      </c>
      <c r="H1055" s="353"/>
      <c r="I1055" s="459" t="s">
        <v>2104</v>
      </c>
      <c r="J1055" s="353" t="s">
        <v>43</v>
      </c>
      <c r="K1055" s="353" t="s">
        <v>43</v>
      </c>
      <c r="L1055" s="353" t="s">
        <v>771</v>
      </c>
      <c r="M1055" s="353" t="s">
        <v>44</v>
      </c>
      <c r="N1055" s="353">
        <v>23.850999999999999</v>
      </c>
      <c r="O1055" s="353">
        <v>98.337999999999994</v>
      </c>
      <c r="P1055" s="353" t="s">
        <v>756</v>
      </c>
      <c r="Q1055" s="353" t="s">
        <v>757</v>
      </c>
      <c r="R1055" s="356"/>
      <c r="S1055" s="462"/>
      <c r="T1055" s="376"/>
      <c r="U1055" s="358" t="s">
        <v>977</v>
      </c>
      <c r="V1055" s="353"/>
      <c r="W1055" s="349" t="s">
        <v>2166</v>
      </c>
      <c r="X1055" s="463"/>
      <c r="Y1055" s="457"/>
      <c r="Z1055" s="461"/>
    </row>
    <row r="1056" spans="1:26" ht="14.25" customHeight="1">
      <c r="A1056" s="420" t="s">
        <v>697</v>
      </c>
      <c r="B1056" s="380" t="s">
        <v>701</v>
      </c>
      <c r="C1056" s="420" t="s">
        <v>710</v>
      </c>
      <c r="D1056" s="402" t="s">
        <v>2799</v>
      </c>
      <c r="E1056" s="353" t="s">
        <v>1411</v>
      </c>
      <c r="F1056" s="353"/>
      <c r="G1056" s="353"/>
      <c r="H1056" s="353" t="s">
        <v>41</v>
      </c>
      <c r="I1056" s="353" t="s">
        <v>2642</v>
      </c>
      <c r="J1056" s="353" t="s">
        <v>43</v>
      </c>
      <c r="K1056" s="353" t="s">
        <v>963</v>
      </c>
      <c r="L1056" s="353" t="s">
        <v>43</v>
      </c>
      <c r="M1056" s="353" t="s">
        <v>44</v>
      </c>
      <c r="N1056" s="353">
        <v>23.400155999999999</v>
      </c>
      <c r="O1056" s="353">
        <v>98.220614999999995</v>
      </c>
      <c r="P1056" s="353" t="s">
        <v>756</v>
      </c>
      <c r="Q1056" s="353" t="s">
        <v>775</v>
      </c>
      <c r="R1056" s="461"/>
      <c r="S1056" s="462"/>
      <c r="T1056" s="376"/>
      <c r="U1056" s="358"/>
      <c r="V1056" s="353" t="s">
        <v>964</v>
      </c>
      <c r="W1056" s="349" t="s">
        <v>2167</v>
      </c>
      <c r="X1056" s="463"/>
      <c r="Y1056" s="457"/>
      <c r="Z1056" s="461"/>
    </row>
    <row r="1057" spans="1:26" ht="14.25" customHeight="1">
      <c r="A1057" s="420" t="s">
        <v>697</v>
      </c>
      <c r="B1057" s="380" t="s">
        <v>701</v>
      </c>
      <c r="C1057" s="420" t="s">
        <v>706</v>
      </c>
      <c r="D1057" s="402" t="s">
        <v>2799</v>
      </c>
      <c r="E1057" s="353" t="s">
        <v>1417</v>
      </c>
      <c r="F1057" s="353" t="s">
        <v>1744</v>
      </c>
      <c r="G1057" s="353" t="s">
        <v>1745</v>
      </c>
      <c r="H1057" s="353" t="s">
        <v>41</v>
      </c>
      <c r="I1057" s="353" t="s">
        <v>1314</v>
      </c>
      <c r="J1057" s="353" t="s">
        <v>43</v>
      </c>
      <c r="K1057" s="353" t="s">
        <v>43</v>
      </c>
      <c r="L1057" s="353" t="s">
        <v>43</v>
      </c>
      <c r="M1057" s="353" t="s">
        <v>44</v>
      </c>
      <c r="N1057" s="353">
        <v>23.463000000000001</v>
      </c>
      <c r="O1057" s="353">
        <v>98.248999999999995</v>
      </c>
      <c r="P1057" s="353" t="s">
        <v>756</v>
      </c>
      <c r="Q1057" s="353" t="s">
        <v>775</v>
      </c>
      <c r="R1057" s="461"/>
      <c r="S1057" s="462"/>
      <c r="T1057" s="376"/>
      <c r="U1057" s="358"/>
      <c r="V1057" s="353" t="s">
        <v>967</v>
      </c>
      <c r="W1057" s="349" t="s">
        <v>2168</v>
      </c>
      <c r="X1057" s="463"/>
      <c r="Y1057" s="457"/>
      <c r="Z1057" s="461"/>
    </row>
    <row r="1058" spans="1:26" ht="14.25" customHeight="1">
      <c r="A1058" s="420" t="s">
        <v>697</v>
      </c>
      <c r="B1058" s="380" t="s">
        <v>701</v>
      </c>
      <c r="C1058" s="420" t="s">
        <v>1115</v>
      </c>
      <c r="D1058" s="355" t="s">
        <v>1635</v>
      </c>
      <c r="E1058" s="353"/>
      <c r="F1058" s="353"/>
      <c r="G1058" s="353"/>
      <c r="H1058" s="353"/>
      <c r="I1058" s="353"/>
      <c r="J1058" s="353" t="s">
        <v>1443</v>
      </c>
      <c r="K1058" s="353" t="s">
        <v>43</v>
      </c>
      <c r="L1058" s="353" t="s">
        <v>1094</v>
      </c>
      <c r="M1058" s="353" t="s">
        <v>44</v>
      </c>
      <c r="N1058" s="353"/>
      <c r="O1058" s="353"/>
      <c r="P1058" s="353" t="s">
        <v>756</v>
      </c>
      <c r="Q1058" s="353" t="s">
        <v>775</v>
      </c>
      <c r="R1058" s="364"/>
      <c r="S1058" s="357"/>
      <c r="T1058" s="376"/>
      <c r="U1058" s="358" t="s">
        <v>1090</v>
      </c>
      <c r="V1058" s="353" t="s">
        <v>1116</v>
      </c>
      <c r="W1058" s="356"/>
      <c r="X1058" s="463"/>
      <c r="Y1058" s="457"/>
      <c r="Z1058" s="461"/>
    </row>
    <row r="1059" spans="1:26" ht="14.25" customHeight="1">
      <c r="A1059" s="420" t="s">
        <v>697</v>
      </c>
      <c r="B1059" s="380" t="s">
        <v>701</v>
      </c>
      <c r="C1059" s="420" t="s">
        <v>713</v>
      </c>
      <c r="D1059" s="402" t="s">
        <v>2799</v>
      </c>
      <c r="E1059" s="353" t="s">
        <v>1423</v>
      </c>
      <c r="F1059" s="353" t="s">
        <v>1747</v>
      </c>
      <c r="G1059" s="353" t="s">
        <v>1748</v>
      </c>
      <c r="H1059" s="353" t="s">
        <v>41</v>
      </c>
      <c r="I1059" s="353" t="s">
        <v>2642</v>
      </c>
      <c r="J1059" s="353" t="s">
        <v>43</v>
      </c>
      <c r="K1059" s="353" t="s">
        <v>43</v>
      </c>
      <c r="L1059" s="353" t="s">
        <v>43</v>
      </c>
      <c r="M1059" s="353" t="s">
        <v>44</v>
      </c>
      <c r="N1059" s="353">
        <v>23.694130000000001</v>
      </c>
      <c r="O1059" s="353">
        <v>97.818979999999996</v>
      </c>
      <c r="P1059" s="353" t="s">
        <v>756</v>
      </c>
      <c r="Q1059" s="353" t="s">
        <v>775</v>
      </c>
      <c r="R1059" s="461"/>
      <c r="S1059" s="462"/>
      <c r="T1059" s="376"/>
      <c r="U1059" s="358"/>
      <c r="V1059" s="353" t="s">
        <v>713</v>
      </c>
      <c r="W1059" s="349" t="s">
        <v>2169</v>
      </c>
      <c r="X1059" s="463"/>
      <c r="Y1059" s="457"/>
      <c r="Z1059" s="461"/>
    </row>
    <row r="1060" spans="1:26" ht="14.25" customHeight="1">
      <c r="A1060" s="420" t="s">
        <v>697</v>
      </c>
      <c r="B1060" s="380" t="s">
        <v>701</v>
      </c>
      <c r="C1060" s="420" t="s">
        <v>2103</v>
      </c>
      <c r="D1060" s="402" t="s">
        <v>2799</v>
      </c>
      <c r="E1060" s="353" t="s">
        <v>1422</v>
      </c>
      <c r="F1060" s="353"/>
      <c r="G1060" s="353"/>
      <c r="H1060" s="353" t="s">
        <v>41</v>
      </c>
      <c r="I1060" s="353" t="s">
        <v>1314</v>
      </c>
      <c r="J1060" s="353" t="s">
        <v>43</v>
      </c>
      <c r="K1060" s="353" t="s">
        <v>43</v>
      </c>
      <c r="L1060" s="353" t="s">
        <v>43</v>
      </c>
      <c r="M1060" s="353" t="s">
        <v>44</v>
      </c>
      <c r="N1060" s="353">
        <v>23.682887999999998</v>
      </c>
      <c r="O1060" s="353">
        <v>97.810101000000003</v>
      </c>
      <c r="P1060" s="353" t="s">
        <v>756</v>
      </c>
      <c r="Q1060" s="353" t="s">
        <v>775</v>
      </c>
      <c r="R1060" s="356"/>
      <c r="S1060" s="462"/>
      <c r="T1060" s="376" t="s">
        <v>800</v>
      </c>
      <c r="U1060" s="358"/>
      <c r="V1060" s="353"/>
      <c r="W1060" s="349" t="s">
        <v>2170</v>
      </c>
      <c r="X1060" s="463"/>
      <c r="Y1060" s="457"/>
      <c r="Z1060" s="461"/>
    </row>
    <row r="1061" spans="1:26" ht="14.25" customHeight="1">
      <c r="A1061" s="420" t="s">
        <v>697</v>
      </c>
      <c r="B1061" s="380" t="s">
        <v>701</v>
      </c>
      <c r="C1061" s="420" t="s">
        <v>724</v>
      </c>
      <c r="D1061" s="402" t="s">
        <v>2799</v>
      </c>
      <c r="E1061" s="353" t="s">
        <v>1413</v>
      </c>
      <c r="F1061" s="353" t="s">
        <v>1648</v>
      </c>
      <c r="G1061" s="353">
        <v>0</v>
      </c>
      <c r="H1061" s="353" t="s">
        <v>41</v>
      </c>
      <c r="I1061" s="353" t="s">
        <v>1314</v>
      </c>
      <c r="J1061" s="353" t="s">
        <v>43</v>
      </c>
      <c r="K1061" s="353" t="s">
        <v>963</v>
      </c>
      <c r="L1061" s="353" t="s">
        <v>43</v>
      </c>
      <c r="M1061" s="353" t="s">
        <v>44</v>
      </c>
      <c r="N1061" s="353">
        <v>23.447111</v>
      </c>
      <c r="O1061" s="353">
        <v>97.868876999999998</v>
      </c>
      <c r="P1061" s="353" t="s">
        <v>756</v>
      </c>
      <c r="Q1061" s="353" t="s">
        <v>757</v>
      </c>
      <c r="R1061" s="356"/>
      <c r="S1061" s="462"/>
      <c r="T1061" s="376"/>
      <c r="U1061" s="358"/>
      <c r="V1061" s="353"/>
      <c r="W1061" s="349" t="s">
        <v>2171</v>
      </c>
      <c r="X1061" s="463"/>
      <c r="Y1061" s="457"/>
      <c r="Z1061" s="461"/>
    </row>
    <row r="1062" spans="1:26" ht="14.25" customHeight="1">
      <c r="A1062" s="420" t="s">
        <v>697</v>
      </c>
      <c r="B1062" s="380" t="s">
        <v>701</v>
      </c>
      <c r="C1062" s="420" t="s">
        <v>744</v>
      </c>
      <c r="D1062" s="402" t="s">
        <v>2799</v>
      </c>
      <c r="E1062" s="353" t="s">
        <v>1875</v>
      </c>
      <c r="F1062" s="353" t="s">
        <v>744</v>
      </c>
      <c r="G1062" s="353" t="s">
        <v>744</v>
      </c>
      <c r="H1062" s="353" t="s">
        <v>41</v>
      </c>
      <c r="I1062" s="353" t="s">
        <v>1314</v>
      </c>
      <c r="J1062" s="353" t="s">
        <v>43</v>
      </c>
      <c r="K1062" s="353" t="s">
        <v>43</v>
      </c>
      <c r="L1062" s="353" t="s">
        <v>43</v>
      </c>
      <c r="M1062" s="353" t="s">
        <v>44</v>
      </c>
      <c r="N1062" s="353">
        <v>0</v>
      </c>
      <c r="O1062" s="353">
        <v>0</v>
      </c>
      <c r="P1062" s="353" t="s">
        <v>756</v>
      </c>
      <c r="Q1062" s="353"/>
      <c r="R1062" s="461"/>
      <c r="S1062" s="462"/>
      <c r="T1062" s="376"/>
      <c r="U1062" s="358" t="s">
        <v>1148</v>
      </c>
      <c r="V1062" s="353"/>
      <c r="W1062" s="349" t="s">
        <v>2172</v>
      </c>
      <c r="X1062" s="463"/>
      <c r="Y1062" s="457"/>
      <c r="Z1062" s="461"/>
    </row>
    <row r="1063" spans="1:26" ht="14.25" customHeight="1">
      <c r="A1063" s="420" t="s">
        <v>697</v>
      </c>
      <c r="B1063" s="380" t="s">
        <v>701</v>
      </c>
      <c r="C1063" s="420" t="s">
        <v>720</v>
      </c>
      <c r="D1063" s="402" t="s">
        <v>2799</v>
      </c>
      <c r="E1063" s="353" t="s">
        <v>1410</v>
      </c>
      <c r="F1063" s="353" t="s">
        <v>1648</v>
      </c>
      <c r="G1063" s="353" t="s">
        <v>1649</v>
      </c>
      <c r="H1063" s="353" t="s">
        <v>41</v>
      </c>
      <c r="I1063" s="353" t="s">
        <v>2642</v>
      </c>
      <c r="J1063" s="353" t="s">
        <v>43</v>
      </c>
      <c r="K1063" s="353" t="s">
        <v>963</v>
      </c>
      <c r="L1063" s="353" t="s">
        <v>43</v>
      </c>
      <c r="M1063" s="353" t="s">
        <v>44</v>
      </c>
      <c r="N1063" s="353">
        <v>23.38503</v>
      </c>
      <c r="O1063" s="353">
        <v>97.837040000000002</v>
      </c>
      <c r="P1063" s="353" t="s">
        <v>756</v>
      </c>
      <c r="Q1063" s="353" t="s">
        <v>775</v>
      </c>
      <c r="R1063" s="461"/>
      <c r="S1063" s="462"/>
      <c r="T1063" s="376"/>
      <c r="U1063" s="358"/>
      <c r="V1063" s="353" t="s">
        <v>720</v>
      </c>
      <c r="W1063" s="349" t="s">
        <v>2173</v>
      </c>
      <c r="X1063" s="463"/>
      <c r="Y1063" s="457"/>
      <c r="Z1063" s="461"/>
    </row>
    <row r="1064" spans="1:26" ht="14.25" customHeight="1">
      <c r="A1064" s="420" t="s">
        <v>697</v>
      </c>
      <c r="B1064" s="380" t="s">
        <v>1236</v>
      </c>
      <c r="C1064" s="420" t="s">
        <v>2802</v>
      </c>
      <c r="D1064" s="355"/>
      <c r="E1064" s="353"/>
      <c r="F1064" s="353"/>
      <c r="G1064" s="353"/>
      <c r="H1064" s="353"/>
      <c r="I1064" s="353"/>
      <c r="J1064" s="353" t="s">
        <v>1443</v>
      </c>
      <c r="K1064" s="353" t="s">
        <v>43</v>
      </c>
      <c r="L1064" s="353" t="s">
        <v>771</v>
      </c>
      <c r="M1064" s="353" t="s">
        <v>44</v>
      </c>
      <c r="N1064" s="353"/>
      <c r="O1064" s="353"/>
      <c r="P1064" s="353" t="s">
        <v>756</v>
      </c>
      <c r="Q1064" s="353" t="s">
        <v>2803</v>
      </c>
      <c r="R1064" s="364"/>
      <c r="S1064" s="357"/>
      <c r="T1064" s="376"/>
      <c r="U1064" s="358"/>
      <c r="V1064" s="353"/>
      <c r="W1064" s="461"/>
      <c r="X1064" s="463"/>
      <c r="Y1064" s="457"/>
      <c r="Z1064" s="461"/>
    </row>
    <row r="1065" spans="1:26" ht="14.25" customHeight="1">
      <c r="A1065" s="420" t="s">
        <v>697</v>
      </c>
      <c r="B1065" s="380" t="s">
        <v>1236</v>
      </c>
      <c r="C1065" s="420" t="s">
        <v>1296</v>
      </c>
      <c r="D1065" s="355" t="s">
        <v>1855</v>
      </c>
      <c r="E1065" s="353"/>
      <c r="F1065" s="353" t="s">
        <v>1856</v>
      </c>
      <c r="G1065" s="353"/>
      <c r="H1065" s="353"/>
      <c r="I1065" s="353"/>
      <c r="J1065" s="353" t="s">
        <v>1443</v>
      </c>
      <c r="K1065" s="353"/>
      <c r="L1065" s="353"/>
      <c r="M1065" s="353"/>
      <c r="N1065" s="353"/>
      <c r="O1065" s="353"/>
      <c r="P1065" s="353" t="s">
        <v>756</v>
      </c>
      <c r="Q1065" s="353"/>
      <c r="R1065" s="364"/>
      <c r="S1065" s="357"/>
      <c r="T1065" s="376"/>
      <c r="U1065" s="358"/>
      <c r="V1065" s="353"/>
      <c r="W1065" s="461"/>
      <c r="X1065" s="463"/>
      <c r="Y1065" s="457"/>
      <c r="Z1065" s="461"/>
    </row>
    <row r="1066" spans="1:26" ht="14.25" customHeight="1">
      <c r="A1066" s="420" t="s">
        <v>697</v>
      </c>
      <c r="B1066" s="380" t="s">
        <v>1236</v>
      </c>
      <c r="C1066" s="420" t="s">
        <v>2804</v>
      </c>
      <c r="D1066" s="460"/>
      <c r="E1066" s="353"/>
      <c r="F1066" s="353"/>
      <c r="G1066" s="353"/>
      <c r="H1066" s="353"/>
      <c r="I1066" s="353"/>
      <c r="J1066" s="353" t="s">
        <v>1443</v>
      </c>
      <c r="K1066" s="353" t="s">
        <v>43</v>
      </c>
      <c r="L1066" s="353" t="s">
        <v>771</v>
      </c>
      <c r="M1066" s="353" t="s">
        <v>44</v>
      </c>
      <c r="N1066" s="353"/>
      <c r="O1066" s="353"/>
      <c r="P1066" s="353" t="s">
        <v>756</v>
      </c>
      <c r="Q1066" s="353" t="s">
        <v>2803</v>
      </c>
      <c r="R1066" s="469"/>
      <c r="S1066" s="462"/>
      <c r="T1066" s="376">
        <v>43633</v>
      </c>
      <c r="U1066" s="358"/>
      <c r="V1066" s="353"/>
      <c r="W1066" s="461"/>
      <c r="X1066" s="463"/>
      <c r="Y1066" s="457"/>
      <c r="Z1066" s="461"/>
    </row>
    <row r="1067" spans="1:26" ht="14.25" customHeight="1">
      <c r="A1067" s="420" t="s">
        <v>697</v>
      </c>
      <c r="B1067" s="380" t="s">
        <v>1236</v>
      </c>
      <c r="C1067" s="420" t="s">
        <v>2412</v>
      </c>
      <c r="D1067" s="355"/>
      <c r="E1067" s="353"/>
      <c r="F1067" s="353"/>
      <c r="G1067" s="353"/>
      <c r="H1067" s="353"/>
      <c r="I1067" s="353"/>
      <c r="J1067" s="353" t="s">
        <v>2632</v>
      </c>
      <c r="K1067" s="353" t="s">
        <v>2600</v>
      </c>
      <c r="L1067" s="353" t="s">
        <v>2600</v>
      </c>
      <c r="M1067" s="353" t="s">
        <v>44</v>
      </c>
      <c r="N1067" s="353"/>
      <c r="O1067" s="353"/>
      <c r="P1067" s="353" t="s">
        <v>1962</v>
      </c>
      <c r="Q1067" s="353"/>
      <c r="R1067" s="364"/>
      <c r="S1067" s="357"/>
      <c r="T1067" s="376"/>
      <c r="U1067" s="358"/>
      <c r="V1067" s="353"/>
      <c r="W1067" s="349"/>
      <c r="X1067" s="463"/>
      <c r="Y1067" s="457"/>
      <c r="Z1067" s="461"/>
    </row>
    <row r="1068" spans="1:26" ht="14.25" customHeight="1">
      <c r="A1068" s="420" t="s">
        <v>697</v>
      </c>
      <c r="B1068" s="380" t="s">
        <v>704</v>
      </c>
      <c r="C1068" s="420" t="s">
        <v>1079</v>
      </c>
      <c r="D1068" s="402" t="s">
        <v>1635</v>
      </c>
      <c r="E1068" s="353"/>
      <c r="F1068" s="353"/>
      <c r="G1068" s="353"/>
      <c r="H1068" s="353"/>
      <c r="I1068" s="353"/>
      <c r="J1068" s="353" t="s">
        <v>793</v>
      </c>
      <c r="K1068" s="353" t="s">
        <v>793</v>
      </c>
      <c r="L1068" s="353" t="s">
        <v>793</v>
      </c>
      <c r="M1068" s="353"/>
      <c r="N1068" s="353"/>
      <c r="O1068" s="353"/>
      <c r="P1068" s="353" t="s">
        <v>794</v>
      </c>
      <c r="Q1068" s="353"/>
      <c r="R1068" s="461"/>
      <c r="S1068" s="462"/>
      <c r="T1068" s="376"/>
      <c r="U1068" s="358"/>
      <c r="V1068" s="353" t="s">
        <v>1080</v>
      </c>
      <c r="W1068" s="349"/>
      <c r="X1068" s="463"/>
      <c r="Y1068" s="457"/>
      <c r="Z1068" s="461"/>
    </row>
    <row r="1069" spans="1:26" ht="14.25" customHeight="1">
      <c r="A1069" s="420" t="s">
        <v>697</v>
      </c>
      <c r="B1069" s="380" t="s">
        <v>704</v>
      </c>
      <c r="C1069" s="420" t="s">
        <v>742</v>
      </c>
      <c r="D1069" s="402" t="s">
        <v>2230</v>
      </c>
      <c r="E1069" s="353" t="s">
        <v>1315</v>
      </c>
      <c r="F1069" s="353">
        <v>0</v>
      </c>
      <c r="G1069" s="353">
        <v>0</v>
      </c>
      <c r="H1069" s="353"/>
      <c r="I1069" s="353" t="s">
        <v>2104</v>
      </c>
      <c r="J1069" s="353" t="s">
        <v>43</v>
      </c>
      <c r="K1069" s="353" t="s">
        <v>43</v>
      </c>
      <c r="L1069" s="353" t="s">
        <v>755</v>
      </c>
      <c r="M1069" s="353" t="s">
        <v>44</v>
      </c>
      <c r="N1069" s="353"/>
      <c r="O1069" s="353"/>
      <c r="P1069" s="353" t="s">
        <v>756</v>
      </c>
      <c r="Q1069" s="353" t="s">
        <v>757</v>
      </c>
      <c r="R1069" s="461"/>
      <c r="S1069" s="462"/>
      <c r="T1069" s="376"/>
      <c r="U1069" s="358" t="s">
        <v>2645</v>
      </c>
      <c r="V1069" s="353"/>
      <c r="W1069" s="349" t="s">
        <v>2231</v>
      </c>
      <c r="X1069" s="463"/>
      <c r="Y1069" s="457"/>
      <c r="Z1069" s="461"/>
    </row>
    <row r="1070" spans="1:26" ht="14.25" customHeight="1">
      <c r="A1070" s="420" t="s">
        <v>697</v>
      </c>
      <c r="B1070" s="380" t="s">
        <v>704</v>
      </c>
      <c r="C1070" s="420" t="s">
        <v>730</v>
      </c>
      <c r="D1070" s="355" t="s">
        <v>2799</v>
      </c>
      <c r="E1070" s="353" t="s">
        <v>1406</v>
      </c>
      <c r="F1070" s="353" t="s">
        <v>1665</v>
      </c>
      <c r="G1070" s="353" t="s">
        <v>1685</v>
      </c>
      <c r="H1070" s="353" t="s">
        <v>41</v>
      </c>
      <c r="I1070" s="353" t="s">
        <v>2642</v>
      </c>
      <c r="J1070" s="353" t="s">
        <v>43</v>
      </c>
      <c r="K1070" s="353" t="s">
        <v>43</v>
      </c>
      <c r="L1070" s="353" t="s">
        <v>43</v>
      </c>
      <c r="M1070" s="353" t="s">
        <v>44</v>
      </c>
      <c r="N1070" s="353">
        <v>23.250678000000001</v>
      </c>
      <c r="O1070" s="353">
        <v>97.124403000000001</v>
      </c>
      <c r="P1070" s="353" t="s">
        <v>756</v>
      </c>
      <c r="Q1070" s="353" t="s">
        <v>775</v>
      </c>
      <c r="R1070" s="364"/>
      <c r="S1070" s="357"/>
      <c r="T1070" s="376"/>
      <c r="U1070" s="358"/>
      <c r="V1070" s="353" t="s">
        <v>730</v>
      </c>
      <c r="W1070" s="349" t="s">
        <v>2174</v>
      </c>
      <c r="X1070" s="463"/>
      <c r="Y1070" s="457"/>
      <c r="Z1070" s="461"/>
    </row>
    <row r="1071" spans="1:26" ht="14.25" customHeight="1">
      <c r="A1071" s="420" t="s">
        <v>697</v>
      </c>
      <c r="B1071" s="380" t="s">
        <v>704</v>
      </c>
      <c r="C1071" s="420" t="s">
        <v>705</v>
      </c>
      <c r="D1071" s="355" t="s">
        <v>2799</v>
      </c>
      <c r="E1071" s="353" t="s">
        <v>1405</v>
      </c>
      <c r="F1071" s="353" t="s">
        <v>1665</v>
      </c>
      <c r="G1071" s="353" t="s">
        <v>1685</v>
      </c>
      <c r="H1071" s="353" t="s">
        <v>41</v>
      </c>
      <c r="I1071" s="353" t="s">
        <v>1314</v>
      </c>
      <c r="J1071" s="353" t="s">
        <v>43</v>
      </c>
      <c r="K1071" s="353" t="s">
        <v>43</v>
      </c>
      <c r="L1071" s="353" t="s">
        <v>43</v>
      </c>
      <c r="M1071" s="353" t="s">
        <v>44</v>
      </c>
      <c r="N1071" s="353">
        <v>23.24661</v>
      </c>
      <c r="O1071" s="353">
        <v>97.116680000000002</v>
      </c>
      <c r="P1071" s="353" t="s">
        <v>756</v>
      </c>
      <c r="Q1071" s="353" t="s">
        <v>775</v>
      </c>
      <c r="R1071" s="364"/>
      <c r="S1071" s="357"/>
      <c r="T1071" s="376"/>
      <c r="U1071" s="358"/>
      <c r="V1071" s="353" t="s">
        <v>705</v>
      </c>
      <c r="W1071" s="349" t="s">
        <v>2175</v>
      </c>
      <c r="X1071" s="463"/>
      <c r="Y1071" s="457"/>
      <c r="Z1071" s="461"/>
    </row>
    <row r="1072" spans="1:26" ht="14.25" customHeight="1">
      <c r="A1072" s="420" t="s">
        <v>697</v>
      </c>
      <c r="B1072" s="380" t="s">
        <v>707</v>
      </c>
      <c r="C1072" s="420" t="s">
        <v>754</v>
      </c>
      <c r="D1072" s="460" t="s">
        <v>1636</v>
      </c>
      <c r="E1072" s="353" t="s">
        <v>1300</v>
      </c>
      <c r="F1072" s="353" t="s">
        <v>1654</v>
      </c>
      <c r="G1072" s="353" t="s">
        <v>1655</v>
      </c>
      <c r="H1072" s="353"/>
      <c r="I1072" s="457">
        <v>0</v>
      </c>
      <c r="J1072" s="353" t="s">
        <v>43</v>
      </c>
      <c r="K1072" s="353" t="s">
        <v>43</v>
      </c>
      <c r="L1072" s="353" t="s">
        <v>755</v>
      </c>
      <c r="M1072" s="353" t="s">
        <v>44</v>
      </c>
      <c r="N1072" s="353"/>
      <c r="O1072" s="353"/>
      <c r="P1072" s="353" t="s">
        <v>756</v>
      </c>
      <c r="Q1072" s="353" t="s">
        <v>757</v>
      </c>
      <c r="R1072" s="469"/>
      <c r="S1072" s="462"/>
      <c r="T1072" s="376">
        <v>42832</v>
      </c>
      <c r="U1072" s="358"/>
      <c r="V1072" s="353"/>
      <c r="W1072" s="349" t="s">
        <v>2176</v>
      </c>
      <c r="X1072" s="463"/>
      <c r="Y1072" s="457"/>
      <c r="Z1072" s="461"/>
    </row>
    <row r="1073" spans="1:26" ht="14.25" customHeight="1">
      <c r="A1073" s="420" t="s">
        <v>697</v>
      </c>
      <c r="B1073" s="380" t="s">
        <v>707</v>
      </c>
      <c r="C1073" s="420" t="s">
        <v>758</v>
      </c>
      <c r="D1073" s="460" t="s">
        <v>1636</v>
      </c>
      <c r="E1073" s="353" t="s">
        <v>1301</v>
      </c>
      <c r="F1073" s="353" t="s">
        <v>1654</v>
      </c>
      <c r="G1073" s="353" t="s">
        <v>1656</v>
      </c>
      <c r="H1073" s="353"/>
      <c r="I1073" s="353">
        <v>0</v>
      </c>
      <c r="J1073" s="353" t="s">
        <v>43</v>
      </c>
      <c r="K1073" s="353" t="s">
        <v>43</v>
      </c>
      <c r="L1073" s="353" t="s">
        <v>755</v>
      </c>
      <c r="M1073" s="353" t="s">
        <v>44</v>
      </c>
      <c r="N1073" s="353"/>
      <c r="O1073" s="353"/>
      <c r="P1073" s="353" t="s">
        <v>756</v>
      </c>
      <c r="Q1073" s="353" t="s">
        <v>757</v>
      </c>
      <c r="R1073" s="469"/>
      <c r="S1073" s="462"/>
      <c r="T1073" s="376"/>
      <c r="U1073" s="358"/>
      <c r="V1073" s="353">
        <v>42920</v>
      </c>
      <c r="W1073" s="349" t="s">
        <v>2176</v>
      </c>
      <c r="X1073" s="463"/>
      <c r="Y1073" s="457"/>
      <c r="Z1073" s="461"/>
    </row>
    <row r="1074" spans="1:26" ht="14.25" customHeight="1">
      <c r="A1074" s="420" t="s">
        <v>697</v>
      </c>
      <c r="B1074" s="380" t="s">
        <v>707</v>
      </c>
      <c r="C1074" s="420" t="s">
        <v>759</v>
      </c>
      <c r="D1074" s="402" t="s">
        <v>1636</v>
      </c>
      <c r="E1074" s="353" t="s">
        <v>1302</v>
      </c>
      <c r="F1074" s="353" t="s">
        <v>1654</v>
      </c>
      <c r="G1074" s="353" t="s">
        <v>1656</v>
      </c>
      <c r="H1074" s="353"/>
      <c r="I1074" s="353">
        <v>0</v>
      </c>
      <c r="J1074" s="353" t="s">
        <v>43</v>
      </c>
      <c r="K1074" s="353" t="s">
        <v>43</v>
      </c>
      <c r="L1074" s="353" t="s">
        <v>755</v>
      </c>
      <c r="M1074" s="353" t="s">
        <v>44</v>
      </c>
      <c r="N1074" s="353"/>
      <c r="O1074" s="353"/>
      <c r="P1074" s="353" t="s">
        <v>756</v>
      </c>
      <c r="Q1074" s="353" t="s">
        <v>757</v>
      </c>
      <c r="R1074" s="461"/>
      <c r="S1074" s="462"/>
      <c r="T1074" s="376"/>
      <c r="U1074" s="358"/>
      <c r="V1074" s="353">
        <v>42920</v>
      </c>
      <c r="W1074" s="349" t="s">
        <v>2176</v>
      </c>
      <c r="X1074" s="463"/>
      <c r="Y1074" s="457"/>
      <c r="Z1074" s="461"/>
    </row>
    <row r="1075" spans="1:26" ht="14.25" customHeight="1">
      <c r="A1075" s="420" t="s">
        <v>697</v>
      </c>
      <c r="B1075" s="380" t="s">
        <v>707</v>
      </c>
      <c r="C1075" s="420" t="s">
        <v>980</v>
      </c>
      <c r="D1075" s="355" t="s">
        <v>1636</v>
      </c>
      <c r="E1075" s="353" t="s">
        <v>1439</v>
      </c>
      <c r="F1075" s="353" t="s">
        <v>1672</v>
      </c>
      <c r="G1075" s="353" t="s">
        <v>1673</v>
      </c>
      <c r="H1075" s="353"/>
      <c r="I1075" s="353">
        <v>0</v>
      </c>
      <c r="J1075" s="353" t="s">
        <v>43</v>
      </c>
      <c r="K1075" s="353" t="s">
        <v>43</v>
      </c>
      <c r="L1075" s="353" t="s">
        <v>755</v>
      </c>
      <c r="M1075" s="353" t="s">
        <v>44</v>
      </c>
      <c r="N1075" s="353">
        <v>23.917631</v>
      </c>
      <c r="O1075" s="353">
        <v>98.116817999999995</v>
      </c>
      <c r="P1075" s="353" t="s">
        <v>756</v>
      </c>
      <c r="Q1075" s="353" t="s">
        <v>757</v>
      </c>
      <c r="R1075" s="364"/>
      <c r="S1075" s="357"/>
      <c r="T1075" s="376">
        <v>42836</v>
      </c>
      <c r="U1075" s="358"/>
      <c r="V1075" s="353"/>
      <c r="W1075" s="349" t="s">
        <v>2177</v>
      </c>
      <c r="X1075" s="463"/>
      <c r="Y1075" s="457"/>
      <c r="Z1075" s="461"/>
    </row>
    <row r="1076" spans="1:26" ht="14.25" customHeight="1">
      <c r="A1076" s="420" t="s">
        <v>697</v>
      </c>
      <c r="B1076" s="380" t="s">
        <v>707</v>
      </c>
      <c r="C1076" s="420" t="s">
        <v>737</v>
      </c>
      <c r="D1076" s="355" t="s">
        <v>2799</v>
      </c>
      <c r="E1076" s="353" t="s">
        <v>1603</v>
      </c>
      <c r="F1076" s="353" t="s">
        <v>1827</v>
      </c>
      <c r="G1076" s="353" t="s">
        <v>737</v>
      </c>
      <c r="H1076" s="353" t="s">
        <v>41</v>
      </c>
      <c r="I1076" s="353" t="s">
        <v>2642</v>
      </c>
      <c r="J1076" s="353" t="s">
        <v>43</v>
      </c>
      <c r="K1076" s="353" t="s">
        <v>43</v>
      </c>
      <c r="L1076" s="353" t="s">
        <v>43</v>
      </c>
      <c r="M1076" s="353" t="s">
        <v>44</v>
      </c>
      <c r="N1076" s="353">
        <v>24.08738</v>
      </c>
      <c r="O1076" s="353">
        <v>98.115809999999996</v>
      </c>
      <c r="P1076" s="353" t="s">
        <v>756</v>
      </c>
      <c r="Q1076" s="353" t="s">
        <v>797</v>
      </c>
      <c r="R1076" s="364"/>
      <c r="S1076" s="357"/>
      <c r="T1076" s="376" t="s">
        <v>1078</v>
      </c>
      <c r="U1076" s="358"/>
      <c r="V1076" s="353"/>
      <c r="W1076" s="349" t="s">
        <v>2161</v>
      </c>
      <c r="X1076" s="463"/>
      <c r="Y1076" s="457"/>
      <c r="Z1076" s="461"/>
    </row>
    <row r="1077" spans="1:26" ht="14.25" customHeight="1">
      <c r="A1077" s="420" t="s">
        <v>697</v>
      </c>
      <c r="B1077" s="380" t="s">
        <v>707</v>
      </c>
      <c r="C1077" s="420" t="s">
        <v>741</v>
      </c>
      <c r="D1077" s="355" t="s">
        <v>1713</v>
      </c>
      <c r="E1077" s="353" t="s">
        <v>1450</v>
      </c>
      <c r="F1077" s="353" t="s">
        <v>737</v>
      </c>
      <c r="G1077" s="353" t="s">
        <v>737</v>
      </c>
      <c r="H1077" s="353"/>
      <c r="I1077" s="353">
        <v>0</v>
      </c>
      <c r="J1077" s="353" t="s">
        <v>43</v>
      </c>
      <c r="K1077" s="353" t="s">
        <v>43</v>
      </c>
      <c r="L1077" s="353" t="s">
        <v>755</v>
      </c>
      <c r="M1077" s="353" t="s">
        <v>44</v>
      </c>
      <c r="N1077" s="353">
        <v>24.08738</v>
      </c>
      <c r="O1077" s="353">
        <v>98.115809999999996</v>
      </c>
      <c r="P1077" s="353" t="s">
        <v>756</v>
      </c>
      <c r="Q1077" s="353" t="s">
        <v>775</v>
      </c>
      <c r="R1077" s="364"/>
      <c r="S1077" s="357"/>
      <c r="T1077" s="376">
        <v>43276</v>
      </c>
      <c r="U1077" s="358" t="s">
        <v>1957</v>
      </c>
      <c r="V1077" s="353" t="s">
        <v>741</v>
      </c>
      <c r="W1077" s="349" t="s">
        <v>1957</v>
      </c>
      <c r="X1077" s="463"/>
      <c r="Y1077" s="457"/>
      <c r="Z1077" s="461"/>
    </row>
    <row r="1078" spans="1:26" ht="14.25" customHeight="1">
      <c r="A1078" s="420" t="s">
        <v>697</v>
      </c>
      <c r="B1078" s="380" t="s">
        <v>707</v>
      </c>
      <c r="C1078" s="420" t="s">
        <v>748</v>
      </c>
      <c r="D1078" s="355" t="s">
        <v>1636</v>
      </c>
      <c r="E1078" s="353" t="s">
        <v>1309</v>
      </c>
      <c r="F1078" s="353">
        <v>0</v>
      </c>
      <c r="G1078" s="353">
        <v>0</v>
      </c>
      <c r="H1078" s="353"/>
      <c r="I1078" s="353">
        <v>0</v>
      </c>
      <c r="J1078" s="353" t="s">
        <v>43</v>
      </c>
      <c r="K1078" s="353" t="s">
        <v>43</v>
      </c>
      <c r="L1078" s="353" t="s">
        <v>755</v>
      </c>
      <c r="M1078" s="353" t="s">
        <v>44</v>
      </c>
      <c r="N1078" s="353"/>
      <c r="O1078" s="353"/>
      <c r="P1078" s="353" t="s">
        <v>756</v>
      </c>
      <c r="Q1078" s="353" t="s">
        <v>757</v>
      </c>
      <c r="R1078" s="364"/>
      <c r="S1078" s="357"/>
      <c r="T1078" s="376"/>
      <c r="U1078" s="358"/>
      <c r="V1078" s="353">
        <v>42920</v>
      </c>
      <c r="W1078" s="349" t="s">
        <v>2176</v>
      </c>
      <c r="X1078" s="463"/>
      <c r="Y1078" s="457"/>
      <c r="Z1078" s="461"/>
    </row>
    <row r="1079" spans="1:26" ht="14.25" customHeight="1">
      <c r="A1079" s="420" t="s">
        <v>697</v>
      </c>
      <c r="B1079" s="380" t="s">
        <v>707</v>
      </c>
      <c r="C1079" s="420" t="s">
        <v>765</v>
      </c>
      <c r="D1079" s="460" t="s">
        <v>1636</v>
      </c>
      <c r="E1079" s="353" t="s">
        <v>1310</v>
      </c>
      <c r="F1079" s="353" t="s">
        <v>1654</v>
      </c>
      <c r="G1079" s="353" t="s">
        <v>1656</v>
      </c>
      <c r="H1079" s="353"/>
      <c r="I1079" s="457">
        <v>0</v>
      </c>
      <c r="J1079" s="353" t="s">
        <v>43</v>
      </c>
      <c r="K1079" s="353" t="s">
        <v>43</v>
      </c>
      <c r="L1079" s="353" t="s">
        <v>755</v>
      </c>
      <c r="M1079" s="353" t="s">
        <v>44</v>
      </c>
      <c r="N1079" s="353"/>
      <c r="O1079" s="353"/>
      <c r="P1079" s="353" t="s">
        <v>756</v>
      </c>
      <c r="Q1079" s="353" t="s">
        <v>757</v>
      </c>
      <c r="R1079" s="469"/>
      <c r="S1079" s="462"/>
      <c r="T1079" s="376"/>
      <c r="U1079" s="358"/>
      <c r="V1079" s="353">
        <v>42920</v>
      </c>
      <c r="W1079" s="349" t="s">
        <v>2176</v>
      </c>
      <c r="X1079" s="463"/>
      <c r="Y1079" s="457"/>
      <c r="Z1079" s="461"/>
    </row>
    <row r="1080" spans="1:26" ht="14.25" customHeight="1">
      <c r="A1080" s="420" t="s">
        <v>697</v>
      </c>
      <c r="B1080" s="380" t="s">
        <v>707</v>
      </c>
      <c r="C1080" s="420" t="s">
        <v>988</v>
      </c>
      <c r="D1080" s="402" t="s">
        <v>1635</v>
      </c>
      <c r="E1080" s="353" t="s">
        <v>1451</v>
      </c>
      <c r="F1080" s="353"/>
      <c r="G1080" s="353"/>
      <c r="H1080" s="353" t="s">
        <v>41</v>
      </c>
      <c r="I1080" s="459" t="s">
        <v>130</v>
      </c>
      <c r="J1080" s="353" t="s">
        <v>43</v>
      </c>
      <c r="K1080" s="353" t="s">
        <v>43</v>
      </c>
      <c r="L1080" s="353" t="s">
        <v>755</v>
      </c>
      <c r="M1080" s="353" t="s">
        <v>773</v>
      </c>
      <c r="N1080" s="353">
        <v>24.101320999999999</v>
      </c>
      <c r="O1080" s="353">
        <v>98.320651999999995</v>
      </c>
      <c r="P1080" s="353" t="s">
        <v>756</v>
      </c>
      <c r="Q1080" s="353"/>
      <c r="R1080" s="461"/>
      <c r="S1080" s="462"/>
      <c r="T1080" s="376"/>
      <c r="U1080" s="358"/>
      <c r="V1080" s="353" t="s">
        <v>989</v>
      </c>
      <c r="W1080" s="349" t="s">
        <v>2178</v>
      </c>
      <c r="X1080" s="463"/>
      <c r="Y1080" s="457"/>
      <c r="Z1080" s="461"/>
    </row>
    <row r="1081" spans="1:26" ht="14.25" customHeight="1">
      <c r="A1081" s="420" t="s">
        <v>697</v>
      </c>
      <c r="B1081" s="380" t="s">
        <v>707</v>
      </c>
      <c r="C1081" s="420" t="s">
        <v>987</v>
      </c>
      <c r="D1081" s="402" t="s">
        <v>1636</v>
      </c>
      <c r="E1081" s="353" t="s">
        <v>1448</v>
      </c>
      <c r="F1081" s="353" t="s">
        <v>987</v>
      </c>
      <c r="G1081" s="353" t="s">
        <v>987</v>
      </c>
      <c r="H1081" s="353"/>
      <c r="I1081" s="353">
        <v>0</v>
      </c>
      <c r="J1081" s="353" t="s">
        <v>43</v>
      </c>
      <c r="K1081" s="353" t="s">
        <v>43</v>
      </c>
      <c r="L1081" s="353" t="s">
        <v>755</v>
      </c>
      <c r="M1081" s="353" t="s">
        <v>773</v>
      </c>
      <c r="N1081" s="353">
        <v>24.008452999999999</v>
      </c>
      <c r="O1081" s="353">
        <v>98.054946000000001</v>
      </c>
      <c r="P1081" s="353" t="s">
        <v>756</v>
      </c>
      <c r="Q1081" s="353" t="s">
        <v>775</v>
      </c>
      <c r="R1081" s="356"/>
      <c r="S1081" s="462"/>
      <c r="T1081" s="376"/>
      <c r="U1081" s="358"/>
      <c r="V1081" s="353" t="s">
        <v>987</v>
      </c>
      <c r="W1081" s="349" t="s">
        <v>2179</v>
      </c>
      <c r="X1081" s="463"/>
      <c r="Y1081" s="457"/>
      <c r="Z1081" s="461"/>
    </row>
    <row r="1082" spans="1:26" ht="14.25" customHeight="1">
      <c r="A1082" s="420" t="s">
        <v>697</v>
      </c>
      <c r="B1082" s="380" t="s">
        <v>707</v>
      </c>
      <c r="C1082" s="420" t="s">
        <v>732</v>
      </c>
      <c r="D1082" s="460" t="s">
        <v>2799</v>
      </c>
      <c r="E1082" s="353" t="s">
        <v>1446</v>
      </c>
      <c r="F1082" s="353" t="s">
        <v>1654</v>
      </c>
      <c r="G1082" s="353" t="s">
        <v>1656</v>
      </c>
      <c r="H1082" s="353"/>
      <c r="I1082" s="353" t="s">
        <v>2104</v>
      </c>
      <c r="J1082" s="353" t="s">
        <v>43</v>
      </c>
      <c r="K1082" s="353" t="s">
        <v>43</v>
      </c>
      <c r="L1082" s="353" t="s">
        <v>771</v>
      </c>
      <c r="M1082" s="353" t="s">
        <v>44</v>
      </c>
      <c r="N1082" s="353">
        <v>24.006319999999999</v>
      </c>
      <c r="O1082" s="353">
        <v>97.909400000000005</v>
      </c>
      <c r="P1082" s="353" t="s">
        <v>756</v>
      </c>
      <c r="Q1082" s="353" t="s">
        <v>775</v>
      </c>
      <c r="R1082" s="469"/>
      <c r="S1082" s="462"/>
      <c r="T1082" s="376"/>
      <c r="U1082" s="358"/>
      <c r="V1082" s="353" t="s">
        <v>985</v>
      </c>
      <c r="W1082" s="461" t="s">
        <v>2180</v>
      </c>
      <c r="X1082" s="463"/>
      <c r="Y1082" s="457"/>
      <c r="Z1082" s="461"/>
    </row>
    <row r="1083" spans="1:26" ht="14.25" customHeight="1">
      <c r="A1083" s="420" t="s">
        <v>697</v>
      </c>
      <c r="B1083" s="380" t="s">
        <v>707</v>
      </c>
      <c r="C1083" s="420" t="s">
        <v>708</v>
      </c>
      <c r="D1083" s="460" t="s">
        <v>2799</v>
      </c>
      <c r="E1083" s="353" t="s">
        <v>1447</v>
      </c>
      <c r="F1083" s="353" t="s">
        <v>1654</v>
      </c>
      <c r="G1083" s="353" t="s">
        <v>1656</v>
      </c>
      <c r="H1083" s="353" t="s">
        <v>41</v>
      </c>
      <c r="I1083" s="353" t="s">
        <v>1314</v>
      </c>
      <c r="J1083" s="353" t="s">
        <v>43</v>
      </c>
      <c r="K1083" s="353" t="s">
        <v>43</v>
      </c>
      <c r="L1083" s="353" t="s">
        <v>43</v>
      </c>
      <c r="M1083" s="353" t="s">
        <v>44</v>
      </c>
      <c r="N1083" s="353">
        <v>24.006789000000001</v>
      </c>
      <c r="O1083" s="353">
        <v>97.911647000000002</v>
      </c>
      <c r="P1083" s="353" t="s">
        <v>756</v>
      </c>
      <c r="Q1083" s="353" t="s">
        <v>775</v>
      </c>
      <c r="R1083" s="469"/>
      <c r="S1083" s="462"/>
      <c r="T1083" s="376"/>
      <c r="U1083" s="358"/>
      <c r="V1083" s="353" t="s">
        <v>986</v>
      </c>
      <c r="W1083" s="349" t="s">
        <v>2181</v>
      </c>
      <c r="X1083" s="463"/>
      <c r="Y1083" s="457"/>
      <c r="Z1083" s="461"/>
    </row>
    <row r="1084" spans="1:26" ht="14.25" customHeight="1">
      <c r="A1084" s="420" t="s">
        <v>697</v>
      </c>
      <c r="B1084" s="380" t="s">
        <v>707</v>
      </c>
      <c r="C1084" s="420" t="s">
        <v>712</v>
      </c>
      <c r="D1084" s="460" t="s">
        <v>1636</v>
      </c>
      <c r="E1084" s="353" t="s">
        <v>1318</v>
      </c>
      <c r="F1084" s="353" t="s">
        <v>1637</v>
      </c>
      <c r="G1084" s="353" t="s">
        <v>1638</v>
      </c>
      <c r="H1084" s="353"/>
      <c r="I1084" s="353">
        <v>0</v>
      </c>
      <c r="J1084" s="353" t="s">
        <v>43</v>
      </c>
      <c r="K1084" s="353" t="s">
        <v>43</v>
      </c>
      <c r="L1084" s="353" t="s">
        <v>755</v>
      </c>
      <c r="M1084" s="353" t="s">
        <v>773</v>
      </c>
      <c r="N1084" s="353">
        <v>23.933098999999999</v>
      </c>
      <c r="O1084" s="353">
        <v>98.139397000000002</v>
      </c>
      <c r="P1084" s="353" t="s">
        <v>756</v>
      </c>
      <c r="Q1084" s="353" t="s">
        <v>775</v>
      </c>
      <c r="R1084" s="469"/>
      <c r="S1084" s="462"/>
      <c r="T1084" s="376"/>
      <c r="U1084" s="358"/>
      <c r="V1084" s="353" t="s">
        <v>712</v>
      </c>
      <c r="W1084" s="349" t="s">
        <v>2182</v>
      </c>
      <c r="X1084" s="463"/>
      <c r="Y1084" s="457"/>
      <c r="Z1084" s="461"/>
    </row>
    <row r="1085" spans="1:26" ht="14.25" customHeight="1">
      <c r="A1085" s="420" t="s">
        <v>697</v>
      </c>
      <c r="B1085" s="380" t="s">
        <v>707</v>
      </c>
      <c r="C1085" s="420" t="s">
        <v>981</v>
      </c>
      <c r="D1085" s="355" t="s">
        <v>1636</v>
      </c>
      <c r="E1085" s="353" t="s">
        <v>1442</v>
      </c>
      <c r="F1085" s="353" t="s">
        <v>1674</v>
      </c>
      <c r="G1085" s="353" t="s">
        <v>1675</v>
      </c>
      <c r="H1085" s="353"/>
      <c r="I1085" s="353">
        <v>0</v>
      </c>
      <c r="J1085" s="353" t="s">
        <v>43</v>
      </c>
      <c r="K1085" s="353" t="s">
        <v>43</v>
      </c>
      <c r="L1085" s="353" t="s">
        <v>755</v>
      </c>
      <c r="M1085" s="353" t="s">
        <v>44</v>
      </c>
      <c r="N1085" s="353">
        <v>23.978088</v>
      </c>
      <c r="O1085" s="353">
        <v>98.129380999999995</v>
      </c>
      <c r="P1085" s="353" t="s">
        <v>756</v>
      </c>
      <c r="Q1085" s="353" t="s">
        <v>757</v>
      </c>
      <c r="R1085" s="364"/>
      <c r="S1085" s="357"/>
      <c r="T1085" s="376">
        <v>42836</v>
      </c>
      <c r="U1085" s="358"/>
      <c r="V1085" s="353"/>
      <c r="W1085" s="349" t="s">
        <v>2177</v>
      </c>
      <c r="X1085" s="463"/>
      <c r="Y1085" s="457"/>
      <c r="Z1085" s="461"/>
    </row>
    <row r="1086" spans="1:26" ht="14.25" customHeight="1">
      <c r="A1086" s="420" t="s">
        <v>697</v>
      </c>
      <c r="B1086" s="380" t="s">
        <v>707</v>
      </c>
      <c r="C1086" s="420" t="s">
        <v>777</v>
      </c>
      <c r="D1086" s="460" t="s">
        <v>1636</v>
      </c>
      <c r="E1086" s="353" t="s">
        <v>1320</v>
      </c>
      <c r="F1086" s="353" t="s">
        <v>1660</v>
      </c>
      <c r="G1086" s="353" t="s">
        <v>1661</v>
      </c>
      <c r="H1086" s="353"/>
      <c r="I1086" s="353">
        <v>0</v>
      </c>
      <c r="J1086" s="353" t="s">
        <v>43</v>
      </c>
      <c r="K1086" s="353" t="s">
        <v>43</v>
      </c>
      <c r="L1086" s="353" t="s">
        <v>755</v>
      </c>
      <c r="M1086" s="353" t="s">
        <v>44</v>
      </c>
      <c r="N1086" s="353"/>
      <c r="O1086" s="353"/>
      <c r="P1086" s="353" t="s">
        <v>756</v>
      </c>
      <c r="Q1086" s="353" t="s">
        <v>757</v>
      </c>
      <c r="R1086" s="469"/>
      <c r="S1086" s="462"/>
      <c r="T1086" s="376">
        <v>42832</v>
      </c>
      <c r="U1086" s="358"/>
      <c r="V1086" s="353"/>
      <c r="W1086" s="349" t="s">
        <v>2176</v>
      </c>
      <c r="X1086" s="463"/>
      <c r="Y1086" s="457"/>
      <c r="Z1086" s="461"/>
    </row>
    <row r="1087" spans="1:26" ht="14.25" customHeight="1">
      <c r="A1087" s="420" t="s">
        <v>697</v>
      </c>
      <c r="B1087" s="380" t="s">
        <v>707</v>
      </c>
      <c r="C1087" s="420" t="s">
        <v>785</v>
      </c>
      <c r="D1087" s="402" t="s">
        <v>1636</v>
      </c>
      <c r="E1087" s="353" t="s">
        <v>1325</v>
      </c>
      <c r="F1087" s="353" t="s">
        <v>1654</v>
      </c>
      <c r="G1087" s="353" t="s">
        <v>1656</v>
      </c>
      <c r="H1087" s="353"/>
      <c r="I1087" s="459">
        <v>0</v>
      </c>
      <c r="J1087" s="353" t="s">
        <v>43</v>
      </c>
      <c r="K1087" s="353" t="s">
        <v>43</v>
      </c>
      <c r="L1087" s="353" t="s">
        <v>755</v>
      </c>
      <c r="M1087" s="353" t="s">
        <v>44</v>
      </c>
      <c r="N1087" s="353"/>
      <c r="O1087" s="353"/>
      <c r="P1087" s="353" t="s">
        <v>756</v>
      </c>
      <c r="Q1087" s="353" t="s">
        <v>757</v>
      </c>
      <c r="R1087" s="356"/>
      <c r="S1087" s="462"/>
      <c r="T1087" s="376">
        <v>42832</v>
      </c>
      <c r="U1087" s="358"/>
      <c r="V1087" s="353"/>
      <c r="W1087" s="349" t="s">
        <v>2176</v>
      </c>
      <c r="X1087" s="463"/>
      <c r="Y1087" s="457"/>
      <c r="Z1087" s="461"/>
    </row>
    <row r="1088" spans="1:26" ht="14.25" customHeight="1">
      <c r="A1088" s="420" t="s">
        <v>697</v>
      </c>
      <c r="B1088" s="380" t="s">
        <v>707</v>
      </c>
      <c r="C1088" s="420" t="s">
        <v>787</v>
      </c>
      <c r="D1088" s="355" t="s">
        <v>1636</v>
      </c>
      <c r="E1088" s="353" t="s">
        <v>1327</v>
      </c>
      <c r="F1088" s="353">
        <v>0</v>
      </c>
      <c r="G1088" s="353">
        <v>0</v>
      </c>
      <c r="H1088" s="353"/>
      <c r="I1088" s="353">
        <v>0</v>
      </c>
      <c r="J1088" s="353" t="s">
        <v>43</v>
      </c>
      <c r="K1088" s="353" t="s">
        <v>43</v>
      </c>
      <c r="L1088" s="353" t="s">
        <v>755</v>
      </c>
      <c r="M1088" s="353" t="s">
        <v>44</v>
      </c>
      <c r="N1088" s="353"/>
      <c r="O1088" s="353"/>
      <c r="P1088" s="353" t="s">
        <v>756</v>
      </c>
      <c r="Q1088" s="353" t="s">
        <v>757</v>
      </c>
      <c r="R1088" s="364"/>
      <c r="S1088" s="357"/>
      <c r="T1088" s="376">
        <v>42832</v>
      </c>
      <c r="U1088" s="358"/>
      <c r="V1088" s="353"/>
      <c r="W1088" s="349" t="s">
        <v>2176</v>
      </c>
      <c r="X1088" s="463"/>
      <c r="Y1088" s="457"/>
      <c r="Z1088" s="461"/>
    </row>
    <row r="1089" spans="1:26" ht="14.25" customHeight="1">
      <c r="A1089" s="420" t="s">
        <v>697</v>
      </c>
      <c r="B1089" s="380" t="s">
        <v>698</v>
      </c>
      <c r="C1089" s="420" t="s">
        <v>743</v>
      </c>
      <c r="D1089" s="402" t="s">
        <v>2799</v>
      </c>
      <c r="E1089" s="353" t="s">
        <v>1420</v>
      </c>
      <c r="F1089" s="353" t="s">
        <v>1669</v>
      </c>
      <c r="G1089" s="353" t="s">
        <v>1669</v>
      </c>
      <c r="H1089" s="353"/>
      <c r="I1089" s="353" t="s">
        <v>2104</v>
      </c>
      <c r="J1089" s="353" t="s">
        <v>43</v>
      </c>
      <c r="K1089" s="353" t="s">
        <v>43</v>
      </c>
      <c r="L1089" s="353" t="s">
        <v>771</v>
      </c>
      <c r="M1089" s="353" t="s">
        <v>44</v>
      </c>
      <c r="N1089" s="353">
        <v>23.611999999999998</v>
      </c>
      <c r="O1089" s="353">
        <v>97.506</v>
      </c>
      <c r="P1089" s="353" t="s">
        <v>756</v>
      </c>
      <c r="Q1089" s="353" t="s">
        <v>757</v>
      </c>
      <c r="R1089" s="356"/>
      <c r="S1089" s="462"/>
      <c r="T1089" s="376"/>
      <c r="U1089" s="358" t="s">
        <v>968</v>
      </c>
      <c r="V1089" s="353"/>
      <c r="W1089" s="349" t="s">
        <v>2183</v>
      </c>
      <c r="X1089" s="463"/>
      <c r="Y1089" s="457"/>
      <c r="Z1089" s="461"/>
    </row>
    <row r="1090" spans="1:26" ht="14.25" customHeight="1">
      <c r="A1090" s="420" t="s">
        <v>697</v>
      </c>
      <c r="B1090" s="380" t="s">
        <v>698</v>
      </c>
      <c r="C1090" s="420" t="s">
        <v>969</v>
      </c>
      <c r="D1090" s="402" t="s">
        <v>1636</v>
      </c>
      <c r="E1090" s="353" t="s">
        <v>1421</v>
      </c>
      <c r="F1090" s="353" t="s">
        <v>1669</v>
      </c>
      <c r="G1090" s="353" t="s">
        <v>1669</v>
      </c>
      <c r="H1090" s="353"/>
      <c r="I1090" s="353">
        <v>0</v>
      </c>
      <c r="J1090" s="353" t="s">
        <v>43</v>
      </c>
      <c r="K1090" s="353" t="s">
        <v>43</v>
      </c>
      <c r="L1090" s="353" t="s">
        <v>755</v>
      </c>
      <c r="M1090" s="353" t="s">
        <v>44</v>
      </c>
      <c r="N1090" s="353">
        <v>23.611999999999998</v>
      </c>
      <c r="O1090" s="353">
        <v>97.504999999999995</v>
      </c>
      <c r="P1090" s="353" t="s">
        <v>756</v>
      </c>
      <c r="Q1090" s="353" t="s">
        <v>757</v>
      </c>
      <c r="R1090" s="461"/>
      <c r="S1090" s="462"/>
      <c r="T1090" s="376"/>
      <c r="U1090" s="358"/>
      <c r="V1090" s="353"/>
      <c r="W1090" s="349" t="s">
        <v>2184</v>
      </c>
      <c r="X1090" s="463"/>
      <c r="Y1090" s="457"/>
      <c r="Z1090" s="461"/>
    </row>
    <row r="1091" spans="1:26" ht="14.25" customHeight="1">
      <c r="A1091" s="420" t="s">
        <v>697</v>
      </c>
      <c r="B1091" s="380" t="s">
        <v>698</v>
      </c>
      <c r="C1091" s="420" t="s">
        <v>709</v>
      </c>
      <c r="D1091" s="402" t="s">
        <v>2799</v>
      </c>
      <c r="E1091" s="353" t="s">
        <v>1426</v>
      </c>
      <c r="F1091" s="457" t="s">
        <v>1658</v>
      </c>
      <c r="G1091" s="353" t="s">
        <v>1658</v>
      </c>
      <c r="H1091" s="353" t="s">
        <v>41</v>
      </c>
      <c r="I1091" s="353" t="s">
        <v>2642</v>
      </c>
      <c r="J1091" s="353" t="s">
        <v>43</v>
      </c>
      <c r="K1091" s="353" t="s">
        <v>43</v>
      </c>
      <c r="L1091" s="353" t="s">
        <v>43</v>
      </c>
      <c r="M1091" s="353" t="s">
        <v>44</v>
      </c>
      <c r="N1091" s="353">
        <v>23.821380000000001</v>
      </c>
      <c r="O1091" s="353">
        <v>97.681970000000007</v>
      </c>
      <c r="P1091" s="353" t="s">
        <v>756</v>
      </c>
      <c r="Q1091" s="353" t="s">
        <v>775</v>
      </c>
      <c r="R1091" s="356"/>
      <c r="S1091" s="462"/>
      <c r="T1091" s="376"/>
      <c r="U1091" s="358"/>
      <c r="V1091" s="353" t="s">
        <v>709</v>
      </c>
      <c r="W1091" s="349" t="s">
        <v>2185</v>
      </c>
      <c r="X1091" s="463"/>
      <c r="Y1091" s="457"/>
      <c r="Z1091" s="461"/>
    </row>
    <row r="1092" spans="1:26" ht="14.25" customHeight="1">
      <c r="A1092" s="420" t="s">
        <v>697</v>
      </c>
      <c r="B1092" s="380" t="s">
        <v>698</v>
      </c>
      <c r="C1092" s="420" t="s">
        <v>745</v>
      </c>
      <c r="D1092" s="402" t="s">
        <v>2799</v>
      </c>
      <c r="E1092" s="353" t="s">
        <v>1429</v>
      </c>
      <c r="F1092" s="353" t="s">
        <v>1658</v>
      </c>
      <c r="G1092" s="353" t="s">
        <v>1658</v>
      </c>
      <c r="H1092" s="353" t="s">
        <v>41</v>
      </c>
      <c r="I1092" s="353" t="s">
        <v>2642</v>
      </c>
      <c r="J1092" s="353" t="s">
        <v>43</v>
      </c>
      <c r="K1092" s="353" t="s">
        <v>43</v>
      </c>
      <c r="L1092" s="353" t="s">
        <v>43</v>
      </c>
      <c r="M1092" s="353" t="s">
        <v>44</v>
      </c>
      <c r="N1092" s="353">
        <v>23.828520000000001</v>
      </c>
      <c r="O1092" s="353">
        <v>97.669557999999995</v>
      </c>
      <c r="P1092" s="353" t="s">
        <v>756</v>
      </c>
      <c r="Q1092" s="353" t="s">
        <v>775</v>
      </c>
      <c r="R1092" s="461"/>
      <c r="S1092" s="462"/>
      <c r="T1092" s="376"/>
      <c r="U1092" s="358"/>
      <c r="V1092" s="353" t="s">
        <v>745</v>
      </c>
      <c r="W1092" s="349" t="s">
        <v>2186</v>
      </c>
      <c r="X1092" s="463"/>
      <c r="Y1092" s="457"/>
      <c r="Z1092" s="461"/>
    </row>
    <row r="1093" spans="1:26" ht="14.25" customHeight="1">
      <c r="A1093" s="420" t="s">
        <v>697</v>
      </c>
      <c r="B1093" s="380" t="s">
        <v>698</v>
      </c>
      <c r="C1093" s="420" t="s">
        <v>733</v>
      </c>
      <c r="D1093" s="355" t="s">
        <v>2799</v>
      </c>
      <c r="E1093" s="353" t="s">
        <v>1435</v>
      </c>
      <c r="F1093" s="353" t="s">
        <v>1658</v>
      </c>
      <c r="G1093" s="353" t="s">
        <v>1658</v>
      </c>
      <c r="H1093" s="353" t="s">
        <v>41</v>
      </c>
      <c r="I1093" s="353" t="s">
        <v>2642</v>
      </c>
      <c r="J1093" s="353" t="s">
        <v>43</v>
      </c>
      <c r="K1093" s="353" t="s">
        <v>43</v>
      </c>
      <c r="L1093" s="353" t="s">
        <v>43</v>
      </c>
      <c r="M1093" s="353" t="s">
        <v>44</v>
      </c>
      <c r="N1093" s="353">
        <v>23.841646999999998</v>
      </c>
      <c r="O1093" s="353">
        <v>97.700940000000003</v>
      </c>
      <c r="P1093" s="353" t="s">
        <v>756</v>
      </c>
      <c r="Q1093" s="353" t="s">
        <v>775</v>
      </c>
      <c r="R1093" s="364"/>
      <c r="S1093" s="357"/>
      <c r="T1093" s="376"/>
      <c r="U1093" s="358"/>
      <c r="V1093" s="353" t="s">
        <v>976</v>
      </c>
      <c r="W1093" s="461" t="s">
        <v>2187</v>
      </c>
      <c r="X1093" s="463"/>
      <c r="Y1093" s="457"/>
      <c r="Z1093" s="461"/>
    </row>
    <row r="1094" spans="1:26" ht="14.25" customHeight="1">
      <c r="A1094" s="420" t="s">
        <v>697</v>
      </c>
      <c r="B1094" s="380" t="s">
        <v>698</v>
      </c>
      <c r="C1094" s="420" t="s">
        <v>699</v>
      </c>
      <c r="D1094" s="402" t="s">
        <v>2799</v>
      </c>
      <c r="E1094" s="353" t="s">
        <v>1428</v>
      </c>
      <c r="F1094" s="353" t="s">
        <v>1658</v>
      </c>
      <c r="G1094" s="353" t="s">
        <v>1658</v>
      </c>
      <c r="H1094" s="353" t="s">
        <v>41</v>
      </c>
      <c r="I1094" s="353" t="s">
        <v>1314</v>
      </c>
      <c r="J1094" s="353" t="s">
        <v>43</v>
      </c>
      <c r="K1094" s="353" t="s">
        <v>43</v>
      </c>
      <c r="L1094" s="353" t="s">
        <v>43</v>
      </c>
      <c r="M1094" s="353" t="s">
        <v>44</v>
      </c>
      <c r="N1094" s="353">
        <v>23.828150000000001</v>
      </c>
      <c r="O1094" s="353">
        <v>97.670360000000002</v>
      </c>
      <c r="P1094" s="353" t="s">
        <v>756</v>
      </c>
      <c r="Q1094" s="353" t="s">
        <v>775</v>
      </c>
      <c r="R1094" s="461"/>
      <c r="S1094" s="462"/>
      <c r="T1094" s="376"/>
      <c r="U1094" s="358"/>
      <c r="V1094" s="353" t="s">
        <v>699</v>
      </c>
      <c r="W1094" s="349" t="s">
        <v>2188</v>
      </c>
      <c r="X1094" s="463"/>
      <c r="Y1094" s="457"/>
      <c r="Z1094" s="461"/>
    </row>
    <row r="1095" spans="1:26" ht="14.25" customHeight="1">
      <c r="A1095" s="420" t="s">
        <v>697</v>
      </c>
      <c r="B1095" s="380" t="s">
        <v>698</v>
      </c>
      <c r="C1095" s="420" t="s">
        <v>774</v>
      </c>
      <c r="D1095" s="402" t="s">
        <v>1636</v>
      </c>
      <c r="E1095" s="353" t="s">
        <v>1317</v>
      </c>
      <c r="F1095" s="353" t="s">
        <v>1658</v>
      </c>
      <c r="G1095" s="353" t="s">
        <v>1658</v>
      </c>
      <c r="H1095" s="353"/>
      <c r="I1095" s="353">
        <v>0</v>
      </c>
      <c r="J1095" s="353" t="s">
        <v>43</v>
      </c>
      <c r="K1095" s="353" t="s">
        <v>43</v>
      </c>
      <c r="L1095" s="353" t="s">
        <v>755</v>
      </c>
      <c r="M1095" s="353" t="s">
        <v>773</v>
      </c>
      <c r="N1095" s="353"/>
      <c r="O1095" s="353"/>
      <c r="P1095" s="353" t="s">
        <v>756</v>
      </c>
      <c r="Q1095" s="353"/>
      <c r="R1095" s="461"/>
      <c r="S1095" s="462"/>
      <c r="T1095" s="376"/>
      <c r="U1095" s="358"/>
      <c r="V1095" s="353" t="s">
        <v>774</v>
      </c>
      <c r="W1095" s="349" t="s">
        <v>2189</v>
      </c>
      <c r="X1095" s="463"/>
      <c r="Y1095" s="457"/>
      <c r="Z1095" s="461"/>
    </row>
    <row r="1096" spans="1:26" ht="14.25" customHeight="1">
      <c r="A1096" s="466" t="s">
        <v>697</v>
      </c>
      <c r="B1096" s="380" t="s">
        <v>698</v>
      </c>
      <c r="C1096" s="420" t="s">
        <v>735</v>
      </c>
      <c r="D1096" s="460" t="s">
        <v>2799</v>
      </c>
      <c r="E1096" s="353" t="s">
        <v>1434</v>
      </c>
      <c r="F1096" s="353" t="s">
        <v>1749</v>
      </c>
      <c r="G1096" s="353" t="s">
        <v>1738</v>
      </c>
      <c r="H1096" s="353" t="s">
        <v>41</v>
      </c>
      <c r="I1096" s="457" t="s">
        <v>2642</v>
      </c>
      <c r="J1096" s="353" t="s">
        <v>43</v>
      </c>
      <c r="K1096" s="353" t="s">
        <v>43</v>
      </c>
      <c r="L1096" s="353" t="s">
        <v>43</v>
      </c>
      <c r="M1096" s="353" t="s">
        <v>44</v>
      </c>
      <c r="N1096" s="353">
        <v>23.838190000000001</v>
      </c>
      <c r="O1096" s="353">
        <v>97.709879999999998</v>
      </c>
      <c r="P1096" s="353" t="s">
        <v>756</v>
      </c>
      <c r="Q1096" s="353" t="s">
        <v>775</v>
      </c>
      <c r="R1096" s="469"/>
      <c r="S1096" s="462"/>
      <c r="T1096" s="376"/>
      <c r="U1096" s="358"/>
      <c r="V1096" s="353" t="s">
        <v>975</v>
      </c>
      <c r="W1096" s="461" t="s">
        <v>2190</v>
      </c>
      <c r="X1096" s="463"/>
      <c r="Y1096" s="457"/>
      <c r="Z1096" s="461"/>
    </row>
    <row r="1097" spans="1:26" ht="14.25" customHeight="1">
      <c r="A1097" s="466" t="s">
        <v>697</v>
      </c>
      <c r="B1097" s="380" t="s">
        <v>718</v>
      </c>
      <c r="C1097" s="420" t="s">
        <v>725</v>
      </c>
      <c r="D1097" s="402" t="s">
        <v>2799</v>
      </c>
      <c r="E1097" s="353" t="s">
        <v>1403</v>
      </c>
      <c r="F1097" s="353" t="s">
        <v>1662</v>
      </c>
      <c r="G1097" s="353" t="s">
        <v>1663</v>
      </c>
      <c r="H1097" s="353" t="s">
        <v>41</v>
      </c>
      <c r="I1097" s="353" t="s">
        <v>1314</v>
      </c>
      <c r="J1097" s="353" t="s">
        <v>43</v>
      </c>
      <c r="K1097" s="353" t="s">
        <v>43</v>
      </c>
      <c r="L1097" s="353" t="s">
        <v>43</v>
      </c>
      <c r="M1097" s="353" t="s">
        <v>44</v>
      </c>
      <c r="N1097" s="353">
        <v>23.099304</v>
      </c>
      <c r="O1097" s="353">
        <v>97.400671000000003</v>
      </c>
      <c r="P1097" s="353" t="s">
        <v>756</v>
      </c>
      <c r="Q1097" s="353" t="s">
        <v>921</v>
      </c>
      <c r="R1097" s="461"/>
      <c r="S1097" s="462"/>
      <c r="T1097" s="376">
        <v>42983</v>
      </c>
      <c r="U1097" s="358"/>
      <c r="V1097" s="353"/>
      <c r="W1097" s="349" t="s">
        <v>2191</v>
      </c>
      <c r="X1097" s="463"/>
      <c r="Y1097" s="457"/>
      <c r="Z1097" s="461"/>
    </row>
    <row r="1098" spans="1:26" ht="14.25" customHeight="1">
      <c r="A1098" s="466" t="s">
        <v>697</v>
      </c>
      <c r="B1098" s="380" t="s">
        <v>718</v>
      </c>
      <c r="C1098" s="420" t="s">
        <v>1101</v>
      </c>
      <c r="D1098" s="355" t="s">
        <v>1635</v>
      </c>
      <c r="E1098" s="353"/>
      <c r="F1098" s="353"/>
      <c r="G1098" s="353"/>
      <c r="H1098" s="353"/>
      <c r="I1098" s="353"/>
      <c r="J1098" s="353" t="s">
        <v>1443</v>
      </c>
      <c r="K1098" s="353" t="s">
        <v>43</v>
      </c>
      <c r="L1098" s="353" t="s">
        <v>43</v>
      </c>
      <c r="M1098" s="353" t="s">
        <v>44</v>
      </c>
      <c r="N1098" s="353"/>
      <c r="O1098" s="353"/>
      <c r="P1098" s="353" t="s">
        <v>756</v>
      </c>
      <c r="Q1098" s="353" t="s">
        <v>775</v>
      </c>
      <c r="R1098" s="364"/>
      <c r="S1098" s="357"/>
      <c r="T1098" s="376">
        <v>42747</v>
      </c>
      <c r="U1098" s="358"/>
      <c r="V1098" s="353"/>
      <c r="W1098" s="356"/>
      <c r="X1098" s="463"/>
      <c r="Y1098" s="457"/>
      <c r="Z1098" s="461"/>
    </row>
    <row r="1099" spans="1:26" ht="14.25" customHeight="1">
      <c r="A1099" s="466" t="s">
        <v>697</v>
      </c>
      <c r="B1099" s="380" t="s">
        <v>718</v>
      </c>
      <c r="C1099" s="420" t="s">
        <v>726</v>
      </c>
      <c r="D1099" s="402" t="s">
        <v>2799</v>
      </c>
      <c r="E1099" s="353" t="s">
        <v>1313</v>
      </c>
      <c r="F1099" s="459" t="s">
        <v>1662</v>
      </c>
      <c r="G1099" s="353" t="s">
        <v>1663</v>
      </c>
      <c r="H1099" s="353" t="s">
        <v>41</v>
      </c>
      <c r="I1099" s="353" t="s">
        <v>1314</v>
      </c>
      <c r="J1099" s="353" t="s">
        <v>43</v>
      </c>
      <c r="K1099" s="353" t="s">
        <v>43</v>
      </c>
      <c r="L1099" s="353" t="s">
        <v>43</v>
      </c>
      <c r="M1099" s="353" t="s">
        <v>44</v>
      </c>
      <c r="N1099" s="353">
        <v>0</v>
      </c>
      <c r="O1099" s="353">
        <v>0</v>
      </c>
      <c r="P1099" s="353" t="s">
        <v>756</v>
      </c>
      <c r="Q1099" s="353" t="s">
        <v>757</v>
      </c>
      <c r="R1099" s="461"/>
      <c r="S1099" s="462"/>
      <c r="T1099" s="376"/>
      <c r="U1099" s="358"/>
      <c r="V1099" s="353"/>
      <c r="W1099" s="349" t="s">
        <v>2191</v>
      </c>
      <c r="X1099" s="463"/>
      <c r="Y1099" s="457"/>
      <c r="Z1099" s="461"/>
    </row>
    <row r="1100" spans="1:26" ht="14.25" customHeight="1">
      <c r="A1100" s="466" t="s">
        <v>697</v>
      </c>
      <c r="B1100" s="380" t="s">
        <v>718</v>
      </c>
      <c r="C1100" s="420" t="s">
        <v>1929</v>
      </c>
      <c r="D1100" s="355"/>
      <c r="E1100" s="353"/>
      <c r="F1100" s="353"/>
      <c r="G1100" s="353"/>
      <c r="H1100" s="353"/>
      <c r="I1100" s="353"/>
      <c r="J1100" s="353" t="s">
        <v>1443</v>
      </c>
      <c r="K1100" s="353" t="s">
        <v>43</v>
      </c>
      <c r="L1100" s="353" t="s">
        <v>43</v>
      </c>
      <c r="M1100" s="353" t="s">
        <v>44</v>
      </c>
      <c r="N1100" s="353"/>
      <c r="O1100" s="353"/>
      <c r="P1100" s="353" t="s">
        <v>756</v>
      </c>
      <c r="Q1100" s="353" t="s">
        <v>1921</v>
      </c>
      <c r="R1100" s="364"/>
      <c r="S1100" s="357"/>
      <c r="T1100" s="376">
        <v>43270</v>
      </c>
      <c r="U1100" s="358"/>
      <c r="V1100" s="353"/>
      <c r="W1100" s="356"/>
      <c r="X1100" s="463"/>
      <c r="Y1100" s="457"/>
      <c r="Z1100" s="461"/>
    </row>
    <row r="1101" spans="1:26" ht="14.25" customHeight="1">
      <c r="A1101" s="466" t="s">
        <v>697</v>
      </c>
      <c r="B1101" s="380" t="s">
        <v>718</v>
      </c>
      <c r="C1101" s="420" t="s">
        <v>729</v>
      </c>
      <c r="D1101" s="355" t="s">
        <v>2799</v>
      </c>
      <c r="E1101" s="353" t="s">
        <v>1402</v>
      </c>
      <c r="F1101" s="353" t="s">
        <v>1662</v>
      </c>
      <c r="G1101" s="353" t="s">
        <v>1663</v>
      </c>
      <c r="H1101" s="353" t="s">
        <v>41</v>
      </c>
      <c r="I1101" s="353" t="s">
        <v>2642</v>
      </c>
      <c r="J1101" s="353" t="s">
        <v>43</v>
      </c>
      <c r="K1101" s="353" t="s">
        <v>43</v>
      </c>
      <c r="L1101" s="353" t="s">
        <v>43</v>
      </c>
      <c r="M1101" s="353" t="s">
        <v>44</v>
      </c>
      <c r="N1101" s="353">
        <v>23.094290000000001</v>
      </c>
      <c r="O1101" s="353">
        <v>97.404089999999997</v>
      </c>
      <c r="P1101" s="353" t="s">
        <v>756</v>
      </c>
      <c r="Q1101" s="353" t="s">
        <v>775</v>
      </c>
      <c r="R1101" s="364"/>
      <c r="S1101" s="357"/>
      <c r="T1101" s="376"/>
      <c r="U1101" s="358"/>
      <c r="V1101" s="353" t="s">
        <v>729</v>
      </c>
      <c r="W1101" s="349" t="s">
        <v>2192</v>
      </c>
      <c r="X1101" s="463"/>
      <c r="Y1101" s="457"/>
      <c r="Z1101" s="461"/>
    </row>
    <row r="1102" spans="1:26" ht="14.25" customHeight="1">
      <c r="A1102" s="466" t="s">
        <v>697</v>
      </c>
      <c r="B1102" s="489" t="s">
        <v>718</v>
      </c>
      <c r="C1102" s="420" t="s">
        <v>960</v>
      </c>
      <c r="D1102" s="460" t="s">
        <v>1636</v>
      </c>
      <c r="E1102" s="457" t="s">
        <v>1401</v>
      </c>
      <c r="F1102" s="457" t="s">
        <v>1662</v>
      </c>
      <c r="G1102" s="457" t="s">
        <v>1663</v>
      </c>
      <c r="H1102" s="457"/>
      <c r="I1102" s="457">
        <v>0</v>
      </c>
      <c r="J1102" s="457" t="s">
        <v>43</v>
      </c>
      <c r="K1102" s="457" t="s">
        <v>43</v>
      </c>
      <c r="L1102" s="457" t="s">
        <v>755</v>
      </c>
      <c r="M1102" s="457" t="s">
        <v>44</v>
      </c>
      <c r="N1102" s="457">
        <v>23.088058</v>
      </c>
      <c r="O1102" s="457">
        <v>97.398989</v>
      </c>
      <c r="P1102" s="457" t="s">
        <v>768</v>
      </c>
      <c r="Q1102" s="457" t="s">
        <v>775</v>
      </c>
      <c r="R1102" s="469"/>
      <c r="S1102" s="462"/>
      <c r="T1102" s="481"/>
      <c r="U1102" s="463"/>
      <c r="V1102" s="457" t="s">
        <v>782</v>
      </c>
      <c r="W1102" s="349" t="s">
        <v>2193</v>
      </c>
      <c r="X1102" s="463"/>
      <c r="Y1102" s="457"/>
      <c r="Z1102" s="461"/>
    </row>
    <row r="1103" spans="1:26" ht="14.25" customHeight="1">
      <c r="A1103" s="466" t="s">
        <v>697</v>
      </c>
      <c r="B1103" s="489" t="s">
        <v>718</v>
      </c>
      <c r="C1103" s="420" t="s">
        <v>778</v>
      </c>
      <c r="D1103" s="460" t="s">
        <v>1636</v>
      </c>
      <c r="E1103" s="457" t="s">
        <v>1321</v>
      </c>
      <c r="F1103" s="457" t="s">
        <v>1662</v>
      </c>
      <c r="G1103" s="457" t="s">
        <v>1663</v>
      </c>
      <c r="H1103" s="457"/>
      <c r="I1103" s="457">
        <v>0</v>
      </c>
      <c r="J1103" s="457" t="s">
        <v>43</v>
      </c>
      <c r="K1103" s="457" t="s">
        <v>43</v>
      </c>
      <c r="L1103" s="457" t="s">
        <v>755</v>
      </c>
      <c r="M1103" s="457" t="s">
        <v>44</v>
      </c>
      <c r="N1103" s="457"/>
      <c r="O1103" s="457"/>
      <c r="P1103" s="457" t="s">
        <v>756</v>
      </c>
      <c r="Q1103" s="457" t="s">
        <v>757</v>
      </c>
      <c r="R1103" s="469"/>
      <c r="S1103" s="462"/>
      <c r="T1103" s="481">
        <v>43019</v>
      </c>
      <c r="U1103" s="463" t="s">
        <v>779</v>
      </c>
      <c r="V1103" s="457"/>
      <c r="W1103" s="461" t="s">
        <v>779</v>
      </c>
      <c r="X1103" s="463"/>
      <c r="Y1103" s="457"/>
      <c r="Z1103" s="461"/>
    </row>
    <row r="1104" spans="1:26" ht="14.25" customHeight="1">
      <c r="A1104" s="462" t="s">
        <v>697</v>
      </c>
      <c r="B1104" s="489" t="s">
        <v>718</v>
      </c>
      <c r="C1104" s="420" t="s">
        <v>780</v>
      </c>
      <c r="D1104" s="402" t="s">
        <v>1636</v>
      </c>
      <c r="E1104" s="457" t="s">
        <v>1322</v>
      </c>
      <c r="F1104" s="457" t="s">
        <v>1662</v>
      </c>
      <c r="G1104" s="457" t="s">
        <v>1663</v>
      </c>
      <c r="H1104" s="457"/>
      <c r="I1104" s="459">
        <v>0</v>
      </c>
      <c r="J1104" s="457" t="s">
        <v>43</v>
      </c>
      <c r="K1104" s="457" t="s">
        <v>43</v>
      </c>
      <c r="L1104" s="457" t="s">
        <v>755</v>
      </c>
      <c r="M1104" s="457" t="s">
        <v>44</v>
      </c>
      <c r="N1104" s="457"/>
      <c r="O1104" s="457"/>
      <c r="P1104" s="457" t="s">
        <v>756</v>
      </c>
      <c r="Q1104" s="457" t="s">
        <v>757</v>
      </c>
      <c r="R1104" s="461"/>
      <c r="S1104" s="462"/>
      <c r="T1104" s="481">
        <v>42927</v>
      </c>
      <c r="U1104" s="463" t="s">
        <v>781</v>
      </c>
      <c r="V1104" s="457"/>
      <c r="W1104" s="349" t="s">
        <v>779</v>
      </c>
      <c r="X1104" s="463"/>
      <c r="Y1104" s="457"/>
      <c r="Z1104" s="461"/>
    </row>
    <row r="1105" spans="1:26" ht="14.25" customHeight="1">
      <c r="A1105" s="462" t="s">
        <v>697</v>
      </c>
      <c r="B1105" s="489" t="s">
        <v>718</v>
      </c>
      <c r="C1105" s="420" t="s">
        <v>782</v>
      </c>
      <c r="D1105" s="460" t="s">
        <v>1636</v>
      </c>
      <c r="E1105" s="457" t="s">
        <v>1323</v>
      </c>
      <c r="F1105" s="457" t="s">
        <v>1662</v>
      </c>
      <c r="G1105" s="457" t="s">
        <v>1663</v>
      </c>
      <c r="H1105" s="457"/>
      <c r="I1105" s="457">
        <v>0</v>
      </c>
      <c r="J1105" s="457" t="s">
        <v>43</v>
      </c>
      <c r="K1105" s="457" t="s">
        <v>43</v>
      </c>
      <c r="L1105" s="457" t="s">
        <v>755</v>
      </c>
      <c r="M1105" s="457" t="s">
        <v>44</v>
      </c>
      <c r="N1105" s="457"/>
      <c r="O1105" s="457"/>
      <c r="P1105" s="457" t="s">
        <v>756</v>
      </c>
      <c r="Q1105" s="457" t="s">
        <v>757</v>
      </c>
      <c r="R1105" s="469"/>
      <c r="S1105" s="462"/>
      <c r="T1105" s="481">
        <v>42927</v>
      </c>
      <c r="U1105" s="463" t="s">
        <v>783</v>
      </c>
      <c r="V1105" s="457"/>
      <c r="W1105" s="349" t="s">
        <v>2182</v>
      </c>
      <c r="X1105" s="463"/>
      <c r="Y1105" s="457"/>
      <c r="Z1105" s="461"/>
    </row>
    <row r="1106" spans="1:26" ht="14.25" customHeight="1">
      <c r="A1106" s="462" t="s">
        <v>697</v>
      </c>
      <c r="B1106" s="489" t="s">
        <v>718</v>
      </c>
      <c r="C1106" s="420" t="s">
        <v>719</v>
      </c>
      <c r="D1106" s="460" t="s">
        <v>2799</v>
      </c>
      <c r="E1106" s="457" t="s">
        <v>1400</v>
      </c>
      <c r="F1106" s="457" t="s">
        <v>1738</v>
      </c>
      <c r="G1106" s="457" t="s">
        <v>1739</v>
      </c>
      <c r="H1106" s="457"/>
      <c r="I1106" s="457" t="s">
        <v>2104</v>
      </c>
      <c r="J1106" s="457" t="s">
        <v>43</v>
      </c>
      <c r="K1106" s="457" t="s">
        <v>43</v>
      </c>
      <c r="L1106" s="457" t="s">
        <v>771</v>
      </c>
      <c r="M1106" s="457" t="s">
        <v>44</v>
      </c>
      <c r="N1106" s="457">
        <v>22.765999999999998</v>
      </c>
      <c r="O1106" s="457">
        <v>97.358999999999995</v>
      </c>
      <c r="P1106" s="457" t="s">
        <v>756</v>
      </c>
      <c r="Q1106" s="457" t="s">
        <v>757</v>
      </c>
      <c r="R1106" s="469"/>
      <c r="S1106" s="462"/>
      <c r="T1106" s="481"/>
      <c r="U1106" s="463" t="s">
        <v>959</v>
      </c>
      <c r="V1106" s="457"/>
      <c r="W1106" s="461" t="s">
        <v>2194</v>
      </c>
      <c r="X1106" s="463"/>
      <c r="Y1106" s="457"/>
      <c r="Z1106" s="461"/>
    </row>
    <row r="1107" spans="1:26" ht="14.25" customHeight="1">
      <c r="A1107" s="462" t="s">
        <v>697</v>
      </c>
      <c r="B1107" s="489" t="s">
        <v>718</v>
      </c>
      <c r="C1107" s="420" t="s">
        <v>961</v>
      </c>
      <c r="D1107" s="460" t="s">
        <v>1635</v>
      </c>
      <c r="E1107" s="457" t="s">
        <v>1404</v>
      </c>
      <c r="F1107" s="464"/>
      <c r="G1107" s="457"/>
      <c r="H1107" s="457"/>
      <c r="I1107" s="457">
        <v>0</v>
      </c>
      <c r="J1107" s="457" t="s">
        <v>43</v>
      </c>
      <c r="K1107" s="457" t="s">
        <v>43</v>
      </c>
      <c r="L1107" s="457" t="s">
        <v>755</v>
      </c>
      <c r="M1107" s="457" t="s">
        <v>44</v>
      </c>
      <c r="N1107" s="457">
        <v>23.099304</v>
      </c>
      <c r="O1107" s="457">
        <v>97.400671000000003</v>
      </c>
      <c r="P1107" s="457" t="s">
        <v>756</v>
      </c>
      <c r="Q1107" s="457" t="s">
        <v>757</v>
      </c>
      <c r="R1107" s="469"/>
      <c r="S1107" s="462"/>
      <c r="T1107" s="481">
        <v>42747</v>
      </c>
      <c r="U1107" s="463" t="s">
        <v>962</v>
      </c>
      <c r="V1107" s="457"/>
      <c r="W1107" s="461" t="s">
        <v>2195</v>
      </c>
      <c r="X1107" s="463"/>
      <c r="Y1107" s="457"/>
      <c r="Z1107" s="461"/>
    </row>
    <row r="1108" spans="1:26" ht="14.25" customHeight="1">
      <c r="A1108" s="462" t="s">
        <v>697</v>
      </c>
      <c r="B1108" s="489" t="s">
        <v>718</v>
      </c>
      <c r="C1108" s="420" t="s">
        <v>1143</v>
      </c>
      <c r="D1108" s="460" t="s">
        <v>1635</v>
      </c>
      <c r="E1108" s="457"/>
      <c r="F1108" s="457"/>
      <c r="G1108" s="457"/>
      <c r="H1108" s="457"/>
      <c r="I1108" s="457"/>
      <c r="J1108" s="457" t="s">
        <v>1443</v>
      </c>
      <c r="K1108" s="457" t="s">
        <v>43</v>
      </c>
      <c r="L1108" s="457" t="s">
        <v>755</v>
      </c>
      <c r="M1108" s="457" t="s">
        <v>44</v>
      </c>
      <c r="N1108" s="457"/>
      <c r="O1108" s="457"/>
      <c r="P1108" s="457" t="s">
        <v>756</v>
      </c>
      <c r="Q1108" s="457" t="s">
        <v>775</v>
      </c>
      <c r="R1108" s="469"/>
      <c r="S1108" s="462"/>
      <c r="T1108" s="481">
        <v>42747</v>
      </c>
      <c r="U1108" s="463"/>
      <c r="V1108" s="457"/>
      <c r="W1108" s="461"/>
      <c r="X1108" s="463"/>
      <c r="Y1108" s="457"/>
      <c r="Z1108" s="461"/>
    </row>
    <row r="1109" spans="1:26" ht="14.25" customHeight="1">
      <c r="A1109" s="462" t="s">
        <v>697</v>
      </c>
      <c r="B1109" s="489" t="s">
        <v>1254</v>
      </c>
      <c r="C1109" s="420" t="s">
        <v>2215</v>
      </c>
      <c r="D1109" s="460"/>
      <c r="E1109" s="457"/>
      <c r="F1109" s="457"/>
      <c r="G1109" s="457"/>
      <c r="H1109" s="457"/>
      <c r="I1109" s="457"/>
      <c r="J1109" s="457" t="s">
        <v>2632</v>
      </c>
      <c r="K1109" s="457" t="s">
        <v>2600</v>
      </c>
      <c r="L1109" s="457" t="s">
        <v>2600</v>
      </c>
      <c r="M1109" s="457" t="s">
        <v>44</v>
      </c>
      <c r="N1109" s="457"/>
      <c r="O1109" s="457"/>
      <c r="P1109" s="457" t="s">
        <v>1962</v>
      </c>
      <c r="Q1109" s="457" t="s">
        <v>921</v>
      </c>
      <c r="R1109" s="469"/>
      <c r="S1109" s="462"/>
      <c r="T1109" s="481">
        <v>43392</v>
      </c>
      <c r="U1109" s="463"/>
      <c r="V1109" s="478"/>
      <c r="W1109" s="461"/>
      <c r="X1109" s="463"/>
      <c r="Y1109" s="457"/>
      <c r="Z1109" s="461"/>
    </row>
    <row r="1110" spans="1:26" ht="14.25" customHeight="1">
      <c r="A1110" s="509" t="s">
        <v>697</v>
      </c>
      <c r="B1110" s="510" t="s">
        <v>1254</v>
      </c>
      <c r="C1110" s="511" t="s">
        <v>1121</v>
      </c>
      <c r="D1110" s="460" t="s">
        <v>1635</v>
      </c>
      <c r="E1110" s="512"/>
      <c r="F1110" s="512"/>
      <c r="G1110" s="512"/>
      <c r="H1110" s="512"/>
      <c r="I1110" s="512"/>
      <c r="J1110" s="512" t="s">
        <v>1443</v>
      </c>
      <c r="K1110" s="512" t="s">
        <v>43</v>
      </c>
      <c r="L1110" s="512" t="s">
        <v>755</v>
      </c>
      <c r="M1110" s="512" t="s">
        <v>44</v>
      </c>
      <c r="N1110" s="512"/>
      <c r="O1110" s="512"/>
      <c r="P1110" s="512" t="s">
        <v>756</v>
      </c>
      <c r="Q1110" s="512" t="s">
        <v>775</v>
      </c>
      <c r="R1110" s="513"/>
      <c r="S1110" s="509"/>
      <c r="T1110" s="514">
        <v>42747</v>
      </c>
      <c r="U1110" s="513"/>
      <c r="V1110" s="512"/>
      <c r="W1110" s="461"/>
      <c r="X1110" s="463"/>
      <c r="Y1110" s="457"/>
      <c r="Z1110" s="461"/>
    </row>
    <row r="1111" spans="1:26" ht="14.25" customHeight="1">
      <c r="A1111" s="509" t="s">
        <v>697</v>
      </c>
      <c r="B1111" s="510" t="s">
        <v>1257</v>
      </c>
      <c r="C1111" s="511" t="s">
        <v>1297</v>
      </c>
      <c r="D1111" s="460" t="s">
        <v>1855</v>
      </c>
      <c r="E1111" s="512"/>
      <c r="F1111" s="512"/>
      <c r="G1111" s="512"/>
      <c r="H1111" s="512"/>
      <c r="I1111" s="512"/>
      <c r="J1111" s="512" t="s">
        <v>1443</v>
      </c>
      <c r="K1111" s="512" t="s">
        <v>43</v>
      </c>
      <c r="L1111" s="512" t="s">
        <v>771</v>
      </c>
      <c r="M1111" s="512" t="s">
        <v>1990</v>
      </c>
      <c r="N1111" s="512"/>
      <c r="O1111" s="512"/>
      <c r="P1111" s="512" t="s">
        <v>756</v>
      </c>
      <c r="Q1111" s="512"/>
      <c r="R1111" s="513"/>
      <c r="S1111" s="509"/>
      <c r="T1111" s="514">
        <v>43298</v>
      </c>
      <c r="U1111" s="513"/>
      <c r="V1111" s="512"/>
      <c r="W1111" s="461"/>
      <c r="X1111" s="463"/>
      <c r="Y1111" s="457"/>
      <c r="Z1111" s="461"/>
    </row>
  </sheetData>
  <conditionalFormatting sqref="V226">
    <cfRule type="duplicateValues" dxfId="628" priority="4"/>
  </conditionalFormatting>
  <conditionalFormatting sqref="V940">
    <cfRule type="duplicateValues" dxfId="627" priority="3"/>
  </conditionalFormatting>
  <conditionalFormatting sqref="V985">
    <cfRule type="duplicateValues" dxfId="626" priority="2"/>
  </conditionalFormatting>
  <conditionalFormatting sqref="V1109">
    <cfRule type="duplicateValues" dxfId="625" priority="1"/>
  </conditionalFormatting>
  <conditionalFormatting sqref="C3:C1111">
    <cfRule type="duplicateValues" dxfId="624" priority="12140"/>
  </conditionalFormatting>
  <conditionalFormatting sqref="E3:E1111">
    <cfRule type="duplicateValues" dxfId="623"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G11"/>
  <sheetViews>
    <sheetView view="pageBreakPreview" topLeftCell="A5" zoomScale="83" zoomScaleNormal="85" zoomScaleSheetLayoutView="83" workbookViewId="0">
      <selection activeCell="A6" sqref="A6:D6"/>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7">
      <c r="B1" s="206" t="s">
        <v>2962</v>
      </c>
      <c r="C1" s="206"/>
      <c r="D1" s="206"/>
    </row>
    <row r="2" spans="1:7" ht="37">
      <c r="A2" s="208" t="s">
        <v>70</v>
      </c>
      <c r="B2" s="208" t="s">
        <v>2963</v>
      </c>
      <c r="C2" s="208" t="s">
        <v>71</v>
      </c>
      <c r="D2" s="208" t="s">
        <v>72</v>
      </c>
      <c r="E2" s="208" t="s">
        <v>1283</v>
      </c>
      <c r="F2" s="208" t="s">
        <v>73</v>
      </c>
    </row>
    <row r="3" spans="1:7" ht="179" customHeight="1">
      <c r="A3" s="209" t="s">
        <v>1294</v>
      </c>
      <c r="B3" s="209" t="s">
        <v>2964</v>
      </c>
      <c r="C3" s="209" t="s">
        <v>3112</v>
      </c>
      <c r="D3" s="210" t="s">
        <v>3110</v>
      </c>
      <c r="E3" s="209" t="s">
        <v>3111</v>
      </c>
      <c r="F3" s="209" t="s">
        <v>2330</v>
      </c>
    </row>
    <row r="4" spans="1:7" ht="92.5">
      <c r="A4" s="211" t="s">
        <v>1295</v>
      </c>
      <c r="B4" s="211" t="s">
        <v>2965</v>
      </c>
      <c r="C4" s="211" t="s">
        <v>3113</v>
      </c>
      <c r="D4" s="211" t="s">
        <v>2988</v>
      </c>
      <c r="E4" s="211" t="s">
        <v>2868</v>
      </c>
      <c r="F4" s="211" t="s">
        <v>2690</v>
      </c>
    </row>
    <row r="5" spans="1:7" ht="242.25" customHeight="1">
      <c r="A5" s="212" t="s">
        <v>1611</v>
      </c>
      <c r="B5" s="212" t="s">
        <v>2966</v>
      </c>
      <c r="C5" s="212" t="s">
        <v>3114</v>
      </c>
      <c r="D5" s="212" t="s">
        <v>2869</v>
      </c>
      <c r="E5" s="212"/>
      <c r="F5" s="212"/>
    </row>
    <row r="6" spans="1:7" ht="148">
      <c r="A6" s="695" t="s">
        <v>2967</v>
      </c>
      <c r="B6" s="695" t="s">
        <v>2968</v>
      </c>
      <c r="C6" s="695" t="s">
        <v>3116</v>
      </c>
      <c r="D6" s="695" t="s">
        <v>3115</v>
      </c>
      <c r="E6" s="695"/>
      <c r="F6" s="695" t="s">
        <v>2969</v>
      </c>
    </row>
    <row r="7" spans="1:7" ht="185">
      <c r="A7" s="696" t="s">
        <v>2970</v>
      </c>
      <c r="B7" s="696" t="s">
        <v>2971</v>
      </c>
      <c r="C7" s="696" t="s">
        <v>3118</v>
      </c>
      <c r="D7" s="696" t="s">
        <v>3117</v>
      </c>
      <c r="E7" s="696"/>
      <c r="F7" s="696" t="s">
        <v>2969</v>
      </c>
    </row>
    <row r="8" spans="1:7" s="205" customFormat="1">
      <c r="G8" s="213"/>
    </row>
    <row r="9" spans="1:7" s="205" customFormat="1"/>
    <row r="10" spans="1:7">
      <c r="E10" s="205"/>
      <c r="F10" s="205"/>
    </row>
    <row r="11" spans="1:7">
      <c r="E11" s="205"/>
      <c r="F11" s="205"/>
    </row>
  </sheetData>
  <pageMargins left="0" right="0" top="0.5" bottom="0.5" header="0.3" footer="0.3"/>
  <pageSetup scale="63" orientation="landscape" r:id="rId1"/>
  <rowBreaks count="1" manualBreakCount="1">
    <brk id="7"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45C5-7751-407E-8BBB-A9BBCE5BFDAC}">
  <sheetPr>
    <tabColor rgb="FF92D050"/>
  </sheetPr>
  <dimension ref="A1:F64"/>
  <sheetViews>
    <sheetView zoomScaleNormal="100" zoomScaleSheetLayoutView="98" workbookViewId="0">
      <pane xSplit="5" ySplit="2" topLeftCell="F15" activePane="bottomRight" state="frozen"/>
      <selection pane="topRight" activeCell="F1" sqref="F1"/>
      <selection pane="bottomLeft" activeCell="A3" sqref="A3"/>
      <selection pane="bottomRight" activeCell="F16" sqref="F16"/>
    </sheetView>
  </sheetViews>
  <sheetFormatPr defaultColWidth="8" defaultRowHeight="45" customHeight="1"/>
  <cols>
    <col min="1" max="1" width="7.58203125" style="711" bestFit="1" customWidth="1"/>
    <col min="2" max="2" width="7.58203125" style="271" bestFit="1" customWidth="1"/>
    <col min="3" max="3" width="42.6640625" style="292" bestFit="1" customWidth="1"/>
    <col min="4" max="4" width="11.58203125" style="292" customWidth="1"/>
    <col min="5" max="5" width="11.6640625" style="292" customWidth="1"/>
    <col min="6" max="6" width="61.5" style="292" bestFit="1" customWidth="1"/>
    <col min="7" max="16372" width="8" style="270"/>
    <col min="16373" max="16384" width="21.1640625" style="270" customWidth="1"/>
  </cols>
  <sheetData>
    <row r="1" spans="1:6" ht="45" customHeight="1">
      <c r="A1" s="697"/>
      <c r="B1" s="991"/>
      <c r="C1" s="991"/>
      <c r="D1" s="991"/>
      <c r="E1" s="991"/>
      <c r="F1" s="991"/>
    </row>
    <row r="2" spans="1:6" s="274" customFormat="1" ht="45" customHeight="1">
      <c r="A2" s="698"/>
      <c r="B2" s="272" t="s">
        <v>46</v>
      </c>
      <c r="C2" s="273" t="s">
        <v>3150</v>
      </c>
      <c r="D2" s="273" t="s">
        <v>2276</v>
      </c>
      <c r="E2" s="273" t="s">
        <v>2805</v>
      </c>
      <c r="F2" s="273" t="s">
        <v>47</v>
      </c>
    </row>
    <row r="3" spans="1:6" ht="45" customHeight="1">
      <c r="A3" s="992" t="s">
        <v>2972</v>
      </c>
      <c r="B3" s="699" t="s">
        <v>0</v>
      </c>
      <c r="C3" s="276" t="s">
        <v>2279</v>
      </c>
      <c r="D3" s="276" t="s">
        <v>16</v>
      </c>
      <c r="E3" s="276"/>
      <c r="F3" s="700"/>
    </row>
    <row r="4" spans="1:6" ht="62.5" customHeight="1">
      <c r="A4" s="993"/>
      <c r="B4" s="699" t="s">
        <v>1</v>
      </c>
      <c r="C4" s="276" t="s">
        <v>2281</v>
      </c>
      <c r="D4" s="276" t="s">
        <v>16</v>
      </c>
      <c r="E4" s="276"/>
      <c r="F4" s="700" t="s">
        <v>2282</v>
      </c>
    </row>
    <row r="5" spans="1:6" ht="45" customHeight="1">
      <c r="A5" s="993"/>
      <c r="B5" s="699" t="s">
        <v>2</v>
      </c>
      <c r="C5" s="276" t="s">
        <v>2283</v>
      </c>
      <c r="D5" s="276" t="s">
        <v>16</v>
      </c>
      <c r="E5" s="276"/>
      <c r="F5" s="700" t="s">
        <v>2284</v>
      </c>
    </row>
    <row r="6" spans="1:6" ht="45" customHeight="1">
      <c r="A6" s="993"/>
      <c r="B6" s="699" t="s">
        <v>3</v>
      </c>
      <c r="C6" s="276" t="s">
        <v>2285</v>
      </c>
      <c r="D6" s="276" t="s">
        <v>18</v>
      </c>
      <c r="E6" s="276"/>
      <c r="F6" s="700" t="s">
        <v>2419</v>
      </c>
    </row>
    <row r="7" spans="1:6" ht="45" customHeight="1">
      <c r="A7" s="993"/>
      <c r="B7" s="699" t="s">
        <v>4</v>
      </c>
      <c r="C7" s="276" t="s">
        <v>21</v>
      </c>
      <c r="D7" s="276" t="s">
        <v>16</v>
      </c>
      <c r="E7" s="276"/>
      <c r="F7" s="700" t="s">
        <v>2286</v>
      </c>
    </row>
    <row r="8" spans="1:6" ht="45" customHeight="1">
      <c r="A8" s="993"/>
      <c r="B8" s="699" t="s">
        <v>1149</v>
      </c>
      <c r="C8" s="276" t="s">
        <v>22</v>
      </c>
      <c r="D8" s="276" t="s">
        <v>16</v>
      </c>
      <c r="E8" s="276"/>
      <c r="F8" s="700" t="s">
        <v>2286</v>
      </c>
    </row>
    <row r="9" spans="1:6" ht="45" customHeight="1">
      <c r="A9" s="993"/>
      <c r="B9" s="699" t="s">
        <v>5</v>
      </c>
      <c r="C9" s="276" t="s">
        <v>3092</v>
      </c>
      <c r="D9" s="276" t="s">
        <v>2413</v>
      </c>
      <c r="E9" s="276"/>
      <c r="F9" s="700" t="s">
        <v>3093</v>
      </c>
    </row>
    <row r="10" spans="1:6" ht="45" customHeight="1">
      <c r="A10" s="993"/>
      <c r="B10" s="699" t="s">
        <v>6</v>
      </c>
      <c r="C10" s="276" t="s">
        <v>2288</v>
      </c>
      <c r="D10" s="276" t="s">
        <v>16</v>
      </c>
      <c r="E10" s="276"/>
      <c r="F10" s="700" t="s">
        <v>2289</v>
      </c>
    </row>
    <row r="11" spans="1:6" ht="75" customHeight="1">
      <c r="A11" s="993"/>
      <c r="B11" s="699" t="s">
        <v>50</v>
      </c>
      <c r="C11" s="276" t="s">
        <v>24</v>
      </c>
      <c r="D11" s="276" t="s">
        <v>17</v>
      </c>
      <c r="E11" s="276"/>
      <c r="F11" s="700" t="s">
        <v>2331</v>
      </c>
    </row>
    <row r="12" spans="1:6" ht="85.25" customHeight="1">
      <c r="A12" s="993"/>
      <c r="B12" s="699" t="s">
        <v>51</v>
      </c>
      <c r="C12" s="276" t="s">
        <v>1871</v>
      </c>
      <c r="D12" s="276" t="s">
        <v>17</v>
      </c>
      <c r="E12" s="276"/>
      <c r="F12" s="700" t="s">
        <v>2331</v>
      </c>
    </row>
    <row r="13" spans="1:6" ht="45" customHeight="1">
      <c r="A13" s="993"/>
      <c r="B13" s="699" t="s">
        <v>53</v>
      </c>
      <c r="C13" s="276" t="s">
        <v>2290</v>
      </c>
      <c r="D13" s="276" t="s">
        <v>19</v>
      </c>
      <c r="E13" s="276"/>
      <c r="F13" s="700" t="s">
        <v>2291</v>
      </c>
    </row>
    <row r="14" spans="1:6" ht="45" customHeight="1">
      <c r="A14" s="993"/>
      <c r="B14" s="699" t="s">
        <v>55</v>
      </c>
      <c r="C14" s="276" t="s">
        <v>2292</v>
      </c>
      <c r="D14" s="276" t="s">
        <v>19</v>
      </c>
      <c r="E14" s="276"/>
      <c r="F14" s="700" t="s">
        <v>2293</v>
      </c>
    </row>
    <row r="15" spans="1:6" ht="45" customHeight="1">
      <c r="A15" s="993"/>
      <c r="B15" s="699" t="s">
        <v>57</v>
      </c>
      <c r="C15" s="276" t="s">
        <v>2434</v>
      </c>
      <c r="D15" s="276" t="s">
        <v>17</v>
      </c>
      <c r="E15" s="276"/>
      <c r="F15" s="700"/>
    </row>
    <row r="16" spans="1:6" ht="78">
      <c r="A16" s="994" t="s">
        <v>1972</v>
      </c>
      <c r="B16" s="701" t="s">
        <v>112</v>
      </c>
      <c r="C16" s="515" t="s">
        <v>3061</v>
      </c>
      <c r="D16" s="187" t="s">
        <v>17</v>
      </c>
      <c r="E16" s="187" t="s">
        <v>2806</v>
      </c>
      <c r="F16" s="257" t="s">
        <v>3094</v>
      </c>
    </row>
    <row r="17" spans="1:6" ht="78">
      <c r="A17" s="995"/>
      <c r="B17" s="701" t="s">
        <v>113</v>
      </c>
      <c r="C17" s="515" t="s">
        <v>3062</v>
      </c>
      <c r="D17" s="187" t="s">
        <v>17</v>
      </c>
      <c r="E17" s="187" t="s">
        <v>2806</v>
      </c>
      <c r="F17" s="257" t="s">
        <v>3094</v>
      </c>
    </row>
    <row r="18" spans="1:6" ht="78">
      <c r="A18" s="995"/>
      <c r="B18" s="701" t="s">
        <v>59</v>
      </c>
      <c r="C18" s="515" t="s">
        <v>3065</v>
      </c>
      <c r="D18" s="187" t="s">
        <v>17</v>
      </c>
      <c r="E18" s="187" t="s">
        <v>2806</v>
      </c>
      <c r="F18" s="257" t="s">
        <v>3094</v>
      </c>
    </row>
    <row r="19" spans="1:6" ht="78">
      <c r="A19" s="995"/>
      <c r="B19" s="701" t="s">
        <v>58</v>
      </c>
      <c r="C19" s="515" t="s">
        <v>3066</v>
      </c>
      <c r="D19" s="187" t="s">
        <v>17</v>
      </c>
      <c r="E19" s="187" t="s">
        <v>2806</v>
      </c>
      <c r="F19" s="257" t="s">
        <v>3094</v>
      </c>
    </row>
    <row r="20" spans="1:6" ht="45" customHeight="1">
      <c r="A20" s="995"/>
      <c r="B20" s="701" t="s">
        <v>60</v>
      </c>
      <c r="C20" s="515" t="s">
        <v>3067</v>
      </c>
      <c r="D20" s="187" t="s">
        <v>17</v>
      </c>
      <c r="E20" s="187" t="s">
        <v>2807</v>
      </c>
      <c r="F20" s="257" t="s">
        <v>3095</v>
      </c>
    </row>
    <row r="21" spans="1:6" ht="39">
      <c r="A21" s="995"/>
      <c r="B21" s="701" t="s">
        <v>1150</v>
      </c>
      <c r="C21" s="187" t="s">
        <v>3068</v>
      </c>
      <c r="D21" s="187" t="s">
        <v>17</v>
      </c>
      <c r="E21" s="187" t="s">
        <v>2808</v>
      </c>
      <c r="F21" s="257" t="s">
        <v>3096</v>
      </c>
    </row>
    <row r="22" spans="1:6" ht="79.5" customHeight="1">
      <c r="A22" s="995"/>
      <c r="B22" s="701" t="s">
        <v>62</v>
      </c>
      <c r="C22" s="187" t="s">
        <v>2845</v>
      </c>
      <c r="D22" s="187" t="s">
        <v>17</v>
      </c>
      <c r="E22" s="187" t="s">
        <v>2806</v>
      </c>
      <c r="F22" s="257" t="s">
        <v>2876</v>
      </c>
    </row>
    <row r="23" spans="1:6" ht="26">
      <c r="A23" s="995"/>
      <c r="B23" s="701" t="s">
        <v>63</v>
      </c>
      <c r="C23" s="187" t="s">
        <v>3069</v>
      </c>
      <c r="D23" s="187" t="s">
        <v>54</v>
      </c>
      <c r="E23" s="187" t="s">
        <v>2806</v>
      </c>
      <c r="F23" s="257" t="s">
        <v>3097</v>
      </c>
    </row>
    <row r="24" spans="1:6" ht="39">
      <c r="A24" s="995"/>
      <c r="B24" s="701" t="s">
        <v>64</v>
      </c>
      <c r="C24" s="187" t="s">
        <v>2846</v>
      </c>
      <c r="D24" s="187" t="s">
        <v>17</v>
      </c>
      <c r="E24" s="187" t="s">
        <v>2806</v>
      </c>
      <c r="F24" s="257" t="s">
        <v>2877</v>
      </c>
    </row>
    <row r="25" spans="1:6" ht="26">
      <c r="A25" s="995"/>
      <c r="B25" s="701" t="s">
        <v>65</v>
      </c>
      <c r="C25" s="187" t="s">
        <v>3071</v>
      </c>
      <c r="D25" s="187" t="s">
        <v>54</v>
      </c>
      <c r="E25" s="187" t="s">
        <v>2806</v>
      </c>
      <c r="F25" s="257" t="s">
        <v>3098</v>
      </c>
    </row>
    <row r="26" spans="1:6" ht="26">
      <c r="A26" s="995"/>
      <c r="B26" s="701" t="s">
        <v>1151</v>
      </c>
      <c r="C26" s="187" t="s">
        <v>2811</v>
      </c>
      <c r="D26" s="187" t="s">
        <v>17</v>
      </c>
      <c r="E26" s="187" t="s">
        <v>2809</v>
      </c>
      <c r="F26" s="257" t="s">
        <v>2878</v>
      </c>
    </row>
    <row r="27" spans="1:6" ht="104">
      <c r="A27" s="995"/>
      <c r="B27" s="701" t="s">
        <v>66</v>
      </c>
      <c r="C27" s="187" t="s">
        <v>3073</v>
      </c>
      <c r="D27" s="187" t="s">
        <v>17</v>
      </c>
      <c r="E27" s="187" t="s">
        <v>2806</v>
      </c>
      <c r="F27" s="257" t="s">
        <v>3099</v>
      </c>
    </row>
    <row r="28" spans="1:6" ht="104">
      <c r="A28" s="995"/>
      <c r="B28" s="701" t="s">
        <v>67</v>
      </c>
      <c r="C28" s="187" t="s">
        <v>3074</v>
      </c>
      <c r="D28" s="187" t="s">
        <v>17</v>
      </c>
      <c r="E28" s="187" t="s">
        <v>2806</v>
      </c>
      <c r="F28" s="257" t="s">
        <v>3100</v>
      </c>
    </row>
    <row r="29" spans="1:6" ht="45" customHeight="1">
      <c r="A29" s="996"/>
      <c r="B29" s="701" t="s">
        <v>68</v>
      </c>
      <c r="C29" s="256" t="s">
        <v>2816</v>
      </c>
      <c r="D29" s="187" t="s">
        <v>18</v>
      </c>
      <c r="E29" s="187"/>
      <c r="F29" s="257"/>
    </row>
    <row r="30" spans="1:6" ht="91">
      <c r="A30" s="997" t="s">
        <v>1973</v>
      </c>
      <c r="B30" s="702" t="s">
        <v>69</v>
      </c>
      <c r="C30" s="199" t="s">
        <v>2847</v>
      </c>
      <c r="D30" s="199" t="s">
        <v>17</v>
      </c>
      <c r="E30" s="199" t="s">
        <v>2806</v>
      </c>
      <c r="F30" s="282" t="s">
        <v>2880</v>
      </c>
    </row>
    <row r="31" spans="1:6" ht="26">
      <c r="A31" s="998"/>
      <c r="B31" s="702" t="s">
        <v>1284</v>
      </c>
      <c r="C31" s="199" t="s">
        <v>2848</v>
      </c>
      <c r="D31" s="199" t="s">
        <v>17</v>
      </c>
      <c r="E31" s="199" t="s">
        <v>2806</v>
      </c>
      <c r="F31" s="282" t="s">
        <v>2879</v>
      </c>
    </row>
    <row r="32" spans="1:6" ht="39">
      <c r="A32" s="998"/>
      <c r="B32" s="702" t="s">
        <v>1285</v>
      </c>
      <c r="C32" s="199" t="s">
        <v>2849</v>
      </c>
      <c r="D32" s="199" t="s">
        <v>17</v>
      </c>
      <c r="E32" s="199" t="s">
        <v>2806</v>
      </c>
      <c r="F32" s="282" t="s">
        <v>2881</v>
      </c>
    </row>
    <row r="33" spans="1:6" ht="14.5">
      <c r="A33" s="998"/>
      <c r="B33" s="702" t="s">
        <v>1286</v>
      </c>
      <c r="C33" s="199" t="s">
        <v>3077</v>
      </c>
      <c r="D33" s="199" t="s">
        <v>17</v>
      </c>
      <c r="E33" s="199" t="s">
        <v>2806</v>
      </c>
      <c r="F33" s="282" t="s">
        <v>3101</v>
      </c>
    </row>
    <row r="34" spans="1:6" ht="33" customHeight="1">
      <c r="A34" s="998"/>
      <c r="B34" s="702" t="s">
        <v>1287</v>
      </c>
      <c r="C34" s="199" t="s">
        <v>2850</v>
      </c>
      <c r="D34" s="199" t="s">
        <v>54</v>
      </c>
      <c r="E34" s="199" t="s">
        <v>2806</v>
      </c>
      <c r="F34" s="282" t="s">
        <v>2882</v>
      </c>
    </row>
    <row r="35" spans="1:6" ht="36" customHeight="1">
      <c r="A35" s="998"/>
      <c r="B35" s="702" t="s">
        <v>1288</v>
      </c>
      <c r="C35" s="199" t="s">
        <v>2851</v>
      </c>
      <c r="D35" s="199" t="s">
        <v>54</v>
      </c>
      <c r="E35" s="199" t="s">
        <v>2806</v>
      </c>
      <c r="F35" s="282" t="s">
        <v>2883</v>
      </c>
    </row>
    <row r="36" spans="1:6" ht="33" customHeight="1">
      <c r="A36" s="998"/>
      <c r="B36" s="702" t="s">
        <v>1289</v>
      </c>
      <c r="C36" s="199" t="s">
        <v>3102</v>
      </c>
      <c r="D36" s="199" t="s">
        <v>54</v>
      </c>
      <c r="E36" s="199"/>
      <c r="F36" s="282" t="s">
        <v>3103</v>
      </c>
    </row>
    <row r="37" spans="1:6" ht="39">
      <c r="A37" s="998"/>
      <c r="B37" s="702" t="s">
        <v>1290</v>
      </c>
      <c r="C37" s="823" t="s">
        <v>3104</v>
      </c>
      <c r="D37" s="283" t="s">
        <v>17</v>
      </c>
      <c r="E37" s="199" t="s">
        <v>2806</v>
      </c>
      <c r="F37" s="282" t="s">
        <v>3105</v>
      </c>
    </row>
    <row r="38" spans="1:6" ht="52">
      <c r="A38" s="998"/>
      <c r="B38" s="702" t="s">
        <v>1291</v>
      </c>
      <c r="C38" s="199" t="s">
        <v>2853</v>
      </c>
      <c r="D38" s="199" t="s">
        <v>17</v>
      </c>
      <c r="E38" s="199" t="s">
        <v>2806</v>
      </c>
      <c r="F38" s="282" t="s">
        <v>2884</v>
      </c>
    </row>
    <row r="39" spans="1:6" ht="56" customHeight="1">
      <c r="A39" s="998"/>
      <c r="B39" s="702" t="s">
        <v>1292</v>
      </c>
      <c r="C39" s="823" t="s">
        <v>2973</v>
      </c>
      <c r="D39" s="199" t="s">
        <v>17</v>
      </c>
      <c r="E39" s="199" t="s">
        <v>2806</v>
      </c>
      <c r="F39" s="824" t="s">
        <v>3106</v>
      </c>
    </row>
    <row r="40" spans="1:6" ht="71.5" customHeight="1">
      <c r="A40" s="998"/>
      <c r="B40" s="702" t="s">
        <v>1293</v>
      </c>
      <c r="C40" s="285" t="s">
        <v>2974</v>
      </c>
      <c r="D40" s="199" t="s">
        <v>17</v>
      </c>
      <c r="E40" s="199" t="s">
        <v>2806</v>
      </c>
      <c r="F40" s="282" t="s">
        <v>3107</v>
      </c>
    </row>
    <row r="41" spans="1:6" ht="39">
      <c r="A41" s="998"/>
      <c r="B41" s="702" t="s">
        <v>1959</v>
      </c>
      <c r="C41" s="199" t="s">
        <v>3108</v>
      </c>
      <c r="D41" s="285" t="s">
        <v>2294</v>
      </c>
      <c r="E41" s="199" t="s">
        <v>2806</v>
      </c>
      <c r="F41" s="282" t="s">
        <v>2885</v>
      </c>
    </row>
    <row r="42" spans="1:6" ht="26">
      <c r="A42" s="999"/>
      <c r="B42" s="702" t="s">
        <v>1960</v>
      </c>
      <c r="C42" s="285" t="s">
        <v>2817</v>
      </c>
      <c r="D42" s="285" t="s">
        <v>18</v>
      </c>
      <c r="E42" s="285"/>
      <c r="F42" s="282"/>
    </row>
    <row r="43" spans="1:6" ht="45" customHeight="1">
      <c r="A43" s="1000" t="s">
        <v>1974</v>
      </c>
      <c r="B43" s="703" t="s">
        <v>2198</v>
      </c>
      <c r="C43" s="287" t="s">
        <v>2855</v>
      </c>
      <c r="D43" s="287" t="s">
        <v>17</v>
      </c>
      <c r="E43" s="259" t="s">
        <v>2806</v>
      </c>
      <c r="F43" s="289" t="s">
        <v>2886</v>
      </c>
    </row>
    <row r="44" spans="1:6" ht="45" customHeight="1">
      <c r="A44" s="1001"/>
      <c r="B44" s="703" t="s">
        <v>2302</v>
      </c>
      <c r="C44" s="287" t="s">
        <v>2856</v>
      </c>
      <c r="D44" s="287" t="s">
        <v>17</v>
      </c>
      <c r="E44" s="259" t="s">
        <v>2806</v>
      </c>
      <c r="F44" s="289" t="s">
        <v>2887</v>
      </c>
    </row>
    <row r="45" spans="1:6" ht="45" customHeight="1">
      <c r="A45" s="1001"/>
      <c r="B45" s="703" t="s">
        <v>2303</v>
      </c>
      <c r="C45" s="287" t="s">
        <v>2857</v>
      </c>
      <c r="D45" s="287" t="s">
        <v>17</v>
      </c>
      <c r="E45" s="259" t="s">
        <v>2806</v>
      </c>
      <c r="F45" s="289" t="s">
        <v>2888</v>
      </c>
    </row>
    <row r="46" spans="1:6" ht="45" customHeight="1">
      <c r="A46" s="1001"/>
      <c r="B46" s="703" t="s">
        <v>2304</v>
      </c>
      <c r="C46" s="287" t="s">
        <v>2858</v>
      </c>
      <c r="D46" s="287" t="s">
        <v>17</v>
      </c>
      <c r="E46" s="259" t="s">
        <v>2806</v>
      </c>
      <c r="F46" s="289" t="s">
        <v>2889</v>
      </c>
    </row>
    <row r="47" spans="1:6" ht="45" customHeight="1">
      <c r="A47" s="1001"/>
      <c r="B47" s="703" t="s">
        <v>2305</v>
      </c>
      <c r="C47" s="287" t="s">
        <v>2859</v>
      </c>
      <c r="D47" s="287" t="s">
        <v>17</v>
      </c>
      <c r="E47" s="259" t="s">
        <v>2806</v>
      </c>
      <c r="F47" s="289" t="s">
        <v>2890</v>
      </c>
    </row>
    <row r="48" spans="1:6" ht="45" customHeight="1">
      <c r="A48" s="1001"/>
      <c r="B48" s="703" t="s">
        <v>2307</v>
      </c>
      <c r="C48" s="287" t="s">
        <v>2860</v>
      </c>
      <c r="D48" s="288" t="s">
        <v>17</v>
      </c>
      <c r="E48" s="259" t="s">
        <v>2806</v>
      </c>
      <c r="F48" s="289" t="s">
        <v>2891</v>
      </c>
    </row>
    <row r="49" spans="1:6" ht="26">
      <c r="A49" s="1001"/>
      <c r="B49" s="703" t="s">
        <v>2308</v>
      </c>
      <c r="C49" s="516" t="s">
        <v>2861</v>
      </c>
      <c r="D49" s="288" t="s">
        <v>54</v>
      </c>
      <c r="E49" s="259" t="s">
        <v>2806</v>
      </c>
      <c r="F49" s="289" t="s">
        <v>2892</v>
      </c>
    </row>
    <row r="50" spans="1:6" ht="45" customHeight="1">
      <c r="A50" s="1001"/>
      <c r="B50" s="703" t="s">
        <v>2309</v>
      </c>
      <c r="C50" s="287" t="s">
        <v>3081</v>
      </c>
      <c r="D50" s="288" t="s">
        <v>54</v>
      </c>
      <c r="E50" s="259" t="s">
        <v>2809</v>
      </c>
      <c r="F50" s="289" t="s">
        <v>2893</v>
      </c>
    </row>
    <row r="51" spans="1:6" ht="45" customHeight="1">
      <c r="A51" s="1001"/>
      <c r="B51" s="703" t="s">
        <v>2310</v>
      </c>
      <c r="C51" s="825" t="s">
        <v>3082</v>
      </c>
      <c r="D51" s="288" t="s">
        <v>17</v>
      </c>
      <c r="E51" s="259" t="s">
        <v>2806</v>
      </c>
      <c r="F51" s="289" t="s">
        <v>2862</v>
      </c>
    </row>
    <row r="52" spans="1:6" ht="45" customHeight="1">
      <c r="A52" s="1002"/>
      <c r="B52" s="703" t="s">
        <v>2311</v>
      </c>
      <c r="C52" s="290" t="s">
        <v>2818</v>
      </c>
      <c r="D52" s="290" t="s">
        <v>18</v>
      </c>
      <c r="E52" s="290"/>
      <c r="F52" s="291"/>
    </row>
    <row r="53" spans="1:6" ht="45" customHeight="1">
      <c r="A53" s="1003" t="s">
        <v>2931</v>
      </c>
      <c r="B53" s="704" t="s">
        <v>2312</v>
      </c>
      <c r="C53" s="518" t="s">
        <v>2863</v>
      </c>
      <c r="D53" s="518" t="s">
        <v>54</v>
      </c>
      <c r="E53" s="518" t="s">
        <v>2806</v>
      </c>
      <c r="F53" s="517" t="s">
        <v>2813</v>
      </c>
    </row>
    <row r="54" spans="1:6" ht="45" customHeight="1">
      <c r="A54" s="1004"/>
      <c r="B54" s="704" t="s">
        <v>2313</v>
      </c>
      <c r="C54" s="518" t="s">
        <v>2864</v>
      </c>
      <c r="D54" s="518" t="s">
        <v>54</v>
      </c>
      <c r="E54" s="518" t="s">
        <v>2806</v>
      </c>
      <c r="F54" s="517" t="s">
        <v>2813</v>
      </c>
    </row>
    <row r="55" spans="1:6" ht="45" customHeight="1">
      <c r="A55" s="1004"/>
      <c r="B55" s="704" t="s">
        <v>2314</v>
      </c>
      <c r="C55" s="518" t="s">
        <v>3109</v>
      </c>
      <c r="D55" s="518" t="s">
        <v>54</v>
      </c>
      <c r="E55" s="518" t="s">
        <v>2806</v>
      </c>
      <c r="F55" s="517" t="s">
        <v>2813</v>
      </c>
    </row>
    <row r="56" spans="1:6" ht="45" customHeight="1">
      <c r="A56" s="1005"/>
      <c r="B56" s="704" t="s">
        <v>2315</v>
      </c>
      <c r="C56" s="518" t="s">
        <v>2812</v>
      </c>
      <c r="D56" s="518" t="s">
        <v>54</v>
      </c>
      <c r="E56" s="518" t="s">
        <v>2806</v>
      </c>
      <c r="F56" s="517" t="s">
        <v>2813</v>
      </c>
    </row>
    <row r="57" spans="1:6" ht="67.5" customHeight="1">
      <c r="A57" s="705" t="s">
        <v>2950</v>
      </c>
      <c r="B57" s="706" t="s">
        <v>2316</v>
      </c>
      <c r="C57" s="707" t="s">
        <v>2814</v>
      </c>
      <c r="D57" s="707" t="s">
        <v>54</v>
      </c>
      <c r="E57" s="707" t="s">
        <v>2806</v>
      </c>
      <c r="F57" s="708" t="s">
        <v>2815</v>
      </c>
    </row>
    <row r="58" spans="1:6" ht="56.25" customHeight="1">
      <c r="A58" s="989" t="s">
        <v>2975</v>
      </c>
      <c r="B58" s="709" t="s">
        <v>2317</v>
      </c>
      <c r="C58" s="517" t="s">
        <v>3085</v>
      </c>
      <c r="D58" s="517" t="s">
        <v>17</v>
      </c>
      <c r="E58" s="517" t="s">
        <v>2806</v>
      </c>
      <c r="F58" s="710"/>
    </row>
    <row r="59" spans="1:6" ht="52">
      <c r="A59" s="990"/>
      <c r="B59" s="709" t="s">
        <v>2318</v>
      </c>
      <c r="C59" s="517" t="s">
        <v>3086</v>
      </c>
      <c r="D59" s="517" t="s">
        <v>17</v>
      </c>
      <c r="E59" s="517" t="s">
        <v>2806</v>
      </c>
      <c r="F59" s="710"/>
    </row>
    <row r="60" spans="1:6" ht="45" customHeight="1">
      <c r="A60" s="990"/>
      <c r="B60" s="709" t="s">
        <v>2322</v>
      </c>
      <c r="C60" s="517" t="s">
        <v>3087</v>
      </c>
      <c r="D60" s="517" t="s">
        <v>17</v>
      </c>
      <c r="E60" s="517" t="s">
        <v>2806</v>
      </c>
      <c r="F60" s="710"/>
    </row>
    <row r="61" spans="1:6" ht="26" customHeight="1">
      <c r="A61" s="986" t="s">
        <v>3149</v>
      </c>
      <c r="B61" s="853" t="s">
        <v>2323</v>
      </c>
      <c r="C61" s="860" t="s">
        <v>3145</v>
      </c>
      <c r="D61" s="860" t="s">
        <v>17</v>
      </c>
      <c r="E61" s="855"/>
      <c r="F61" s="855"/>
    </row>
    <row r="62" spans="1:6" ht="15.5" customHeight="1">
      <c r="A62" s="987"/>
      <c r="B62" s="853" t="s">
        <v>2325</v>
      </c>
      <c r="C62" s="860" t="s">
        <v>3146</v>
      </c>
      <c r="D62" s="860" t="s">
        <v>17</v>
      </c>
      <c r="E62" s="855"/>
      <c r="F62" s="855"/>
    </row>
    <row r="63" spans="1:6" ht="15.5" customHeight="1">
      <c r="A63" s="987"/>
      <c r="B63" s="853" t="s">
        <v>2327</v>
      </c>
      <c r="C63" s="860" t="s">
        <v>3147</v>
      </c>
      <c r="D63" s="860" t="s">
        <v>19</v>
      </c>
      <c r="E63" s="855"/>
      <c r="F63" s="855"/>
    </row>
    <row r="64" spans="1:6" ht="45" customHeight="1">
      <c r="A64" s="988"/>
      <c r="B64" s="853" t="s">
        <v>2328</v>
      </c>
      <c r="C64" s="860" t="s">
        <v>3148</v>
      </c>
      <c r="D64" s="860" t="s">
        <v>18</v>
      </c>
      <c r="E64" s="855"/>
      <c r="F64" s="855"/>
    </row>
  </sheetData>
  <autoFilter ref="B2:F52" xr:uid="{00000000-0009-0000-0000-000004000000}"/>
  <mergeCells count="8">
    <mergeCell ref="A61:A64"/>
    <mergeCell ref="A58:A60"/>
    <mergeCell ref="B1:F1"/>
    <mergeCell ref="A3:A15"/>
    <mergeCell ref="A16:A29"/>
    <mergeCell ref="A30:A42"/>
    <mergeCell ref="A43:A52"/>
    <mergeCell ref="A53:A56"/>
  </mergeCells>
  <phoneticPr fontId="147" type="noConversion"/>
  <pageMargins left="0.25" right="0.25" top="0" bottom="0" header="0.3" footer="0.3"/>
  <pageSetup scale="66" orientation="portrait" r:id="rId1"/>
  <rowBreaks count="2" manualBreakCount="2">
    <brk id="19" max="6" man="1"/>
    <brk id="4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71" customWidth="1"/>
    <col min="2" max="2" width="40.1640625" style="299" customWidth="1"/>
    <col min="3" max="3" width="11.58203125" style="292" customWidth="1"/>
    <col min="4" max="4" width="16.58203125" style="292" hidden="1" customWidth="1"/>
    <col min="5" max="5" width="13.1640625" style="292" bestFit="1" customWidth="1"/>
    <col min="6" max="6" width="65.1640625" style="298" customWidth="1"/>
    <col min="7" max="7" width="21.08203125" style="180" customWidth="1"/>
    <col min="8" max="8" width="20.83203125" style="180" customWidth="1"/>
    <col min="9" max="9" width="57.33203125" style="179" bestFit="1" customWidth="1"/>
    <col min="10" max="16384" width="8" style="293"/>
  </cols>
  <sheetData>
    <row r="1" spans="1:9" ht="45" customHeight="1">
      <c r="A1" s="1006"/>
      <c r="B1" s="1006"/>
      <c r="C1" s="1006"/>
      <c r="D1" s="1006"/>
      <c r="E1" s="1006"/>
      <c r="F1" s="1006"/>
      <c r="G1" s="178" t="s">
        <v>45</v>
      </c>
      <c r="H1" s="178" t="s">
        <v>45</v>
      </c>
    </row>
    <row r="2" spans="1:9" s="294" customFormat="1" ht="56.25" customHeight="1">
      <c r="A2" s="272" t="s">
        <v>46</v>
      </c>
      <c r="B2" s="247" t="s">
        <v>2275</v>
      </c>
      <c r="C2" s="273" t="s">
        <v>2276</v>
      </c>
      <c r="D2" s="273" t="s">
        <v>2277</v>
      </c>
      <c r="E2" s="273" t="s">
        <v>2278</v>
      </c>
      <c r="F2" s="273" t="s">
        <v>47</v>
      </c>
      <c r="G2" s="181" t="s">
        <v>48</v>
      </c>
      <c r="H2" s="182" t="s">
        <v>49</v>
      </c>
      <c r="I2" s="183" t="s">
        <v>2335</v>
      </c>
    </row>
    <row r="3" spans="1:9" ht="36" customHeight="1">
      <c r="A3" s="275" t="s">
        <v>0</v>
      </c>
      <c r="B3" s="246" t="s">
        <v>2337</v>
      </c>
      <c r="C3" s="276" t="s">
        <v>16</v>
      </c>
      <c r="D3" s="276"/>
      <c r="E3" s="276" t="s">
        <v>2280</v>
      </c>
      <c r="F3" s="244" t="s">
        <v>2337</v>
      </c>
      <c r="G3" s="184"/>
      <c r="H3" s="185"/>
      <c r="I3" s="186"/>
    </row>
    <row r="4" spans="1:9" ht="36" customHeight="1">
      <c r="A4" s="275" t="s">
        <v>1</v>
      </c>
      <c r="B4" s="246" t="s">
        <v>2338</v>
      </c>
      <c r="C4" s="276" t="s">
        <v>16</v>
      </c>
      <c r="D4" s="276"/>
      <c r="E4" s="276" t="s">
        <v>2280</v>
      </c>
      <c r="F4" s="244" t="s">
        <v>2421</v>
      </c>
      <c r="G4" s="184"/>
      <c r="H4" s="185"/>
      <c r="I4" s="186"/>
    </row>
    <row r="5" spans="1:9" ht="36" customHeight="1">
      <c r="A5" s="275" t="s">
        <v>2</v>
      </c>
      <c r="B5" s="246" t="s">
        <v>2339</v>
      </c>
      <c r="C5" s="276" t="s">
        <v>16</v>
      </c>
      <c r="D5" s="276"/>
      <c r="E5" s="276" t="s">
        <v>2280</v>
      </c>
      <c r="F5" s="244" t="s">
        <v>2339</v>
      </c>
      <c r="G5" s="184"/>
      <c r="H5" s="185"/>
      <c r="I5" s="186"/>
    </row>
    <row r="6" spans="1:9" ht="36" customHeight="1">
      <c r="A6" s="275" t="s">
        <v>3</v>
      </c>
      <c r="B6" s="246" t="s">
        <v>2340</v>
      </c>
      <c r="C6" s="276" t="s">
        <v>18</v>
      </c>
      <c r="D6" s="276"/>
      <c r="E6" s="276" t="s">
        <v>2280</v>
      </c>
      <c r="F6" s="244" t="s">
        <v>2420</v>
      </c>
      <c r="G6" s="184"/>
      <c r="H6" s="185"/>
      <c r="I6" s="186"/>
    </row>
    <row r="7" spans="1:9" ht="36" customHeight="1">
      <c r="A7" s="275" t="s">
        <v>4</v>
      </c>
      <c r="B7" s="246" t="s">
        <v>2341</v>
      </c>
      <c r="C7" s="276" t="s">
        <v>16</v>
      </c>
      <c r="D7" s="276"/>
      <c r="E7" s="276" t="s">
        <v>2280</v>
      </c>
      <c r="F7" s="244" t="s">
        <v>2341</v>
      </c>
      <c r="G7" s="184"/>
      <c r="H7" s="185"/>
      <c r="I7" s="186"/>
    </row>
    <row r="8" spans="1:9" ht="36" customHeight="1">
      <c r="A8" s="275" t="s">
        <v>1149</v>
      </c>
      <c r="B8" s="246" t="s">
        <v>2342</v>
      </c>
      <c r="C8" s="276" t="s">
        <v>16</v>
      </c>
      <c r="D8" s="276"/>
      <c r="E8" s="276" t="s">
        <v>2280</v>
      </c>
      <c r="F8" s="244" t="s">
        <v>2342</v>
      </c>
      <c r="G8" s="184"/>
      <c r="H8" s="185"/>
      <c r="I8" s="186"/>
    </row>
    <row r="9" spans="1:9" ht="45" customHeight="1">
      <c r="A9" s="275" t="s">
        <v>5</v>
      </c>
      <c r="B9" s="246" t="s">
        <v>2343</v>
      </c>
      <c r="C9" s="276" t="s">
        <v>2413</v>
      </c>
      <c r="D9" s="276"/>
      <c r="E9" s="276" t="s">
        <v>2280</v>
      </c>
      <c r="F9" s="244" t="s">
        <v>2343</v>
      </c>
      <c r="G9" s="184"/>
      <c r="H9" s="185"/>
      <c r="I9" s="186"/>
    </row>
    <row r="10" spans="1:9" ht="45" customHeight="1">
      <c r="A10" s="275" t="s">
        <v>6</v>
      </c>
      <c r="B10" s="246" t="s">
        <v>2344</v>
      </c>
      <c r="C10" s="276" t="s">
        <v>16</v>
      </c>
      <c r="D10" s="276"/>
      <c r="E10" s="276" t="s">
        <v>2280</v>
      </c>
      <c r="F10" s="244" t="s">
        <v>2344</v>
      </c>
      <c r="G10" s="184"/>
      <c r="H10" s="185"/>
      <c r="I10" s="186"/>
    </row>
    <row r="11" spans="1:9" ht="37.5" customHeight="1">
      <c r="A11" s="275" t="s">
        <v>50</v>
      </c>
      <c r="B11" s="246" t="s">
        <v>2386</v>
      </c>
      <c r="C11" s="276" t="s">
        <v>17</v>
      </c>
      <c r="D11" s="276"/>
      <c r="E11" s="276" t="s">
        <v>2280</v>
      </c>
      <c r="F11" s="244" t="s">
        <v>2422</v>
      </c>
      <c r="G11" s="184"/>
      <c r="H11" s="185"/>
      <c r="I11" s="186"/>
    </row>
    <row r="12" spans="1:9" ht="37.5" customHeight="1">
      <c r="A12" s="275" t="s">
        <v>51</v>
      </c>
      <c r="B12" s="246" t="s">
        <v>2385</v>
      </c>
      <c r="C12" s="276" t="s">
        <v>17</v>
      </c>
      <c r="D12" s="276"/>
      <c r="E12" s="276" t="s">
        <v>2280</v>
      </c>
      <c r="F12" s="244" t="s">
        <v>2423</v>
      </c>
      <c r="G12" s="184"/>
      <c r="H12" s="185"/>
      <c r="I12" s="186"/>
    </row>
    <row r="13" spans="1:9" ht="37.5" customHeight="1">
      <c r="A13" s="275" t="s">
        <v>53</v>
      </c>
      <c r="B13" s="246" t="s">
        <v>2345</v>
      </c>
      <c r="C13" s="276" t="s">
        <v>19</v>
      </c>
      <c r="D13" s="276"/>
      <c r="E13" s="276" t="s">
        <v>2280</v>
      </c>
      <c r="F13" s="244" t="s">
        <v>2345</v>
      </c>
      <c r="G13" s="184"/>
      <c r="H13" s="185"/>
      <c r="I13" s="186"/>
    </row>
    <row r="14" spans="1:9" ht="37.5" customHeight="1">
      <c r="A14" s="275" t="s">
        <v>55</v>
      </c>
      <c r="B14" s="246" t="s">
        <v>2346</v>
      </c>
      <c r="C14" s="276" t="s">
        <v>19</v>
      </c>
      <c r="D14" s="276"/>
      <c r="E14" s="276" t="s">
        <v>2280</v>
      </c>
      <c r="F14" s="244" t="s">
        <v>2346</v>
      </c>
      <c r="G14" s="184"/>
      <c r="H14" s="185"/>
      <c r="I14" s="186"/>
    </row>
    <row r="15" spans="1:9" ht="45" customHeight="1">
      <c r="A15" s="275" t="s">
        <v>57</v>
      </c>
      <c r="B15" s="246" t="s">
        <v>2442</v>
      </c>
      <c r="C15" s="276" t="s">
        <v>17</v>
      </c>
      <c r="D15" s="276"/>
      <c r="E15" s="276" t="s">
        <v>2411</v>
      </c>
      <c r="F15" s="244" t="s">
        <v>2442</v>
      </c>
      <c r="G15" s="184"/>
      <c r="H15" s="185"/>
      <c r="I15" s="186"/>
    </row>
    <row r="16" spans="1:9" ht="45" customHeight="1">
      <c r="A16" s="275" t="s">
        <v>112</v>
      </c>
      <c r="B16" s="246" t="s">
        <v>1961</v>
      </c>
      <c r="C16" s="276" t="s">
        <v>17</v>
      </c>
      <c r="D16" s="276"/>
      <c r="E16" s="276" t="s">
        <v>293</v>
      </c>
      <c r="F16" s="244" t="s">
        <v>2347</v>
      </c>
      <c r="G16" s="184"/>
      <c r="H16" s="185"/>
      <c r="I16" s="186"/>
    </row>
    <row r="17" spans="1:9" ht="45" customHeight="1">
      <c r="A17" s="275" t="s">
        <v>113</v>
      </c>
      <c r="B17" s="246" t="s">
        <v>2348</v>
      </c>
      <c r="C17" s="276" t="s">
        <v>17</v>
      </c>
      <c r="D17" s="276"/>
      <c r="E17" s="276" t="s">
        <v>293</v>
      </c>
      <c r="F17" s="244" t="s">
        <v>2349</v>
      </c>
      <c r="G17" s="184"/>
      <c r="H17" s="185"/>
      <c r="I17" s="186"/>
    </row>
    <row r="18" spans="1:9" ht="39">
      <c r="A18" s="275" t="s">
        <v>59</v>
      </c>
      <c r="B18" s="246" t="s">
        <v>2350</v>
      </c>
      <c r="C18" s="276" t="s">
        <v>17</v>
      </c>
      <c r="D18" s="276" t="s">
        <v>2435</v>
      </c>
      <c r="E18" s="276" t="s">
        <v>2280</v>
      </c>
      <c r="F18" s="244" t="s">
        <v>2351</v>
      </c>
      <c r="G18" s="184"/>
      <c r="H18" s="185"/>
      <c r="I18" s="186"/>
    </row>
    <row r="19" spans="1:9" ht="45" customHeight="1">
      <c r="A19" s="275" t="s">
        <v>58</v>
      </c>
      <c r="B19" s="246" t="s">
        <v>2352</v>
      </c>
      <c r="C19" s="276" t="s">
        <v>2294</v>
      </c>
      <c r="D19" s="276"/>
      <c r="E19" s="276" t="s">
        <v>2280</v>
      </c>
      <c r="F19" s="244" t="s">
        <v>2424</v>
      </c>
      <c r="G19" s="184"/>
      <c r="H19" s="185"/>
      <c r="I19" s="186"/>
    </row>
    <row r="20" spans="1:9" ht="36" customHeight="1">
      <c r="A20" s="275" t="s">
        <v>60</v>
      </c>
      <c r="B20" s="246" t="s">
        <v>2353</v>
      </c>
      <c r="C20" s="276" t="s">
        <v>17</v>
      </c>
      <c r="D20" s="276"/>
      <c r="E20" s="276" t="s">
        <v>2280</v>
      </c>
      <c r="F20" s="244" t="s">
        <v>2426</v>
      </c>
      <c r="G20" s="184"/>
      <c r="H20" s="185"/>
      <c r="I20" s="186"/>
    </row>
    <row r="21" spans="1:9" ht="35.25" customHeight="1">
      <c r="A21" s="275" t="s">
        <v>1150</v>
      </c>
      <c r="B21" s="246" t="s">
        <v>2354</v>
      </c>
      <c r="C21" s="276" t="s">
        <v>17</v>
      </c>
      <c r="D21" s="276"/>
      <c r="E21" s="276" t="s">
        <v>2280</v>
      </c>
      <c r="F21" s="244" t="s">
        <v>2425</v>
      </c>
      <c r="G21" s="184"/>
      <c r="H21" s="185"/>
      <c r="I21" s="186"/>
    </row>
    <row r="22" spans="1:9" ht="52.5" customHeight="1">
      <c r="A22" s="277" t="s">
        <v>62</v>
      </c>
      <c r="B22" s="236" t="s">
        <v>2414</v>
      </c>
      <c r="C22" s="187" t="s">
        <v>17</v>
      </c>
      <c r="D22" s="187"/>
      <c r="E22" s="187" t="s">
        <v>2280</v>
      </c>
      <c r="F22" s="234" t="s">
        <v>2427</v>
      </c>
      <c r="G22" s="188" t="s">
        <v>56</v>
      </c>
      <c r="H22" s="189" t="s">
        <v>56</v>
      </c>
      <c r="I22" s="190" t="s">
        <v>2296</v>
      </c>
    </row>
    <row r="23" spans="1:9" ht="45" customHeight="1">
      <c r="A23" s="277" t="s">
        <v>63</v>
      </c>
      <c r="B23" s="236" t="s">
        <v>2391</v>
      </c>
      <c r="C23" s="187" t="s">
        <v>17</v>
      </c>
      <c r="D23" s="187"/>
      <c r="E23" s="187" t="s">
        <v>2280</v>
      </c>
      <c r="F23" s="234" t="s">
        <v>2391</v>
      </c>
      <c r="G23" s="184"/>
      <c r="H23" s="185"/>
      <c r="I23" s="186"/>
    </row>
    <row r="24" spans="1:9" ht="45" customHeight="1">
      <c r="A24" s="277" t="s">
        <v>64</v>
      </c>
      <c r="B24" s="236" t="s">
        <v>2392</v>
      </c>
      <c r="C24" s="187" t="s">
        <v>17</v>
      </c>
      <c r="D24" s="187"/>
      <c r="E24" s="187" t="s">
        <v>2280</v>
      </c>
      <c r="F24" s="237" t="s">
        <v>2393</v>
      </c>
      <c r="G24" s="184"/>
      <c r="H24" s="185"/>
      <c r="I24" s="186"/>
    </row>
    <row r="25" spans="1:9" ht="58.5">
      <c r="A25" s="277" t="s">
        <v>65</v>
      </c>
      <c r="B25" s="238" t="s">
        <v>2443</v>
      </c>
      <c r="C25" s="191" t="s">
        <v>17</v>
      </c>
      <c r="D25" s="187"/>
      <c r="E25" s="191" t="s">
        <v>2280</v>
      </c>
      <c r="F25" s="235" t="s">
        <v>2415</v>
      </c>
      <c r="G25" s="188" t="s">
        <v>56</v>
      </c>
      <c r="H25" s="189" t="s">
        <v>56</v>
      </c>
      <c r="I25" s="190" t="s">
        <v>2296</v>
      </c>
    </row>
    <row r="26" spans="1:9" ht="54" customHeight="1">
      <c r="A26" s="277" t="s">
        <v>67</v>
      </c>
      <c r="B26" s="236" t="s">
        <v>2416</v>
      </c>
      <c r="C26" s="191" t="s">
        <v>17</v>
      </c>
      <c r="D26" s="187"/>
      <c r="E26" s="191" t="s">
        <v>2280</v>
      </c>
      <c r="F26" s="237" t="s">
        <v>2379</v>
      </c>
      <c r="G26" s="184"/>
      <c r="H26" s="185"/>
      <c r="I26" s="186"/>
    </row>
    <row r="27" spans="1:9" ht="90">
      <c r="A27" s="277" t="s">
        <v>1151</v>
      </c>
      <c r="B27" s="238" t="s">
        <v>2444</v>
      </c>
      <c r="C27" s="191" t="s">
        <v>17</v>
      </c>
      <c r="D27" s="187"/>
      <c r="E27" s="191" t="s">
        <v>2280</v>
      </c>
      <c r="F27" s="238" t="s">
        <v>2444</v>
      </c>
      <c r="G27" s="184"/>
      <c r="H27" s="185"/>
      <c r="I27" s="186"/>
    </row>
    <row r="28" spans="1:9" ht="90">
      <c r="A28" s="277" t="s">
        <v>66</v>
      </c>
      <c r="B28" s="236" t="s">
        <v>2445</v>
      </c>
      <c r="C28" s="191" t="s">
        <v>17</v>
      </c>
      <c r="D28" s="187"/>
      <c r="E28" s="191" t="s">
        <v>2280</v>
      </c>
      <c r="F28" s="236" t="s">
        <v>2445</v>
      </c>
      <c r="G28" s="184"/>
      <c r="H28" s="185"/>
      <c r="I28" s="186"/>
    </row>
    <row r="29" spans="1:9" ht="55.5" customHeight="1">
      <c r="A29" s="277" t="s">
        <v>68</v>
      </c>
      <c r="B29" s="238" t="s">
        <v>2428</v>
      </c>
      <c r="C29" s="191" t="s">
        <v>2436</v>
      </c>
      <c r="D29" s="191" t="s">
        <v>2410</v>
      </c>
      <c r="E29" s="191" t="s">
        <v>2280</v>
      </c>
      <c r="F29" s="235" t="s">
        <v>2380</v>
      </c>
      <c r="G29" s="188" t="s">
        <v>56</v>
      </c>
      <c r="H29" s="188" t="s">
        <v>56</v>
      </c>
      <c r="I29" s="190" t="s">
        <v>2296</v>
      </c>
    </row>
    <row r="30" spans="1:9" ht="51.75" customHeight="1">
      <c r="A30" s="277" t="s">
        <v>69</v>
      </c>
      <c r="B30" s="238" t="s">
        <v>2433</v>
      </c>
      <c r="C30" s="191" t="s">
        <v>2436</v>
      </c>
      <c r="D30" s="191"/>
      <c r="E30" s="191" t="s">
        <v>2280</v>
      </c>
      <c r="F30" s="235" t="s">
        <v>2394</v>
      </c>
      <c r="G30" s="260"/>
      <c r="H30" s="185"/>
      <c r="I30" s="186"/>
    </row>
    <row r="31" spans="1:9" ht="69" customHeight="1">
      <c r="A31" s="277" t="s">
        <v>1284</v>
      </c>
      <c r="B31" s="238" t="s">
        <v>2446</v>
      </c>
      <c r="C31" s="191" t="s">
        <v>2436</v>
      </c>
      <c r="D31" s="191"/>
      <c r="E31" s="191" t="s">
        <v>2280</v>
      </c>
      <c r="F31" s="235" t="s">
        <v>2395</v>
      </c>
      <c r="G31" s="261"/>
      <c r="H31" s="251"/>
      <c r="I31" s="252"/>
    </row>
    <row r="32" spans="1:9" s="296" customFormat="1" ht="62" customHeight="1">
      <c r="A32" s="295" t="s">
        <v>1285</v>
      </c>
      <c r="B32" s="238" t="s">
        <v>2355</v>
      </c>
      <c r="C32" s="191" t="s">
        <v>2387</v>
      </c>
      <c r="D32" s="187" t="s">
        <v>2437</v>
      </c>
      <c r="E32" s="191" t="s">
        <v>2411</v>
      </c>
      <c r="F32" s="237" t="s">
        <v>2356</v>
      </c>
      <c r="G32" s="253" t="s">
        <v>56</v>
      </c>
      <c r="H32" s="254" t="s">
        <v>56</v>
      </c>
      <c r="I32" s="255" t="s">
        <v>2296</v>
      </c>
    </row>
    <row r="33" spans="1:9" s="296" customFormat="1" ht="60.75" customHeight="1">
      <c r="A33" s="295" t="s">
        <v>1286</v>
      </c>
      <c r="B33" s="238" t="s">
        <v>2408</v>
      </c>
      <c r="C33" s="262" t="s">
        <v>17</v>
      </c>
      <c r="D33" s="187" t="s">
        <v>2295</v>
      </c>
      <c r="E33" s="262" t="s">
        <v>293</v>
      </c>
      <c r="F33" s="258" t="s">
        <v>2357</v>
      </c>
      <c r="G33" s="253" t="s">
        <v>2297</v>
      </c>
      <c r="H33" s="254" t="s">
        <v>2297</v>
      </c>
      <c r="I33" s="255" t="s">
        <v>2296</v>
      </c>
    </row>
    <row r="34" spans="1:9" s="296" customFormat="1" ht="61.5" customHeight="1">
      <c r="A34" s="295" t="s">
        <v>1287</v>
      </c>
      <c r="B34" s="238" t="s">
        <v>2447</v>
      </c>
      <c r="C34" s="262" t="s">
        <v>2387</v>
      </c>
      <c r="D34" s="187" t="s">
        <v>2295</v>
      </c>
      <c r="E34" s="262" t="s">
        <v>2280</v>
      </c>
      <c r="F34" s="258" t="s">
        <v>2448</v>
      </c>
      <c r="G34" s="253" t="s">
        <v>2297</v>
      </c>
      <c r="H34" s="254" t="s">
        <v>2298</v>
      </c>
      <c r="I34" s="255" t="s">
        <v>2296</v>
      </c>
    </row>
    <row r="35" spans="1:9" s="296" customFormat="1" ht="61.5" customHeight="1">
      <c r="A35" s="295" t="s">
        <v>1288</v>
      </c>
      <c r="B35" s="238" t="s">
        <v>2449</v>
      </c>
      <c r="C35" s="278" t="s">
        <v>17</v>
      </c>
      <c r="D35" s="279"/>
      <c r="E35" s="280" t="s">
        <v>293</v>
      </c>
      <c r="F35" s="238" t="s">
        <v>2449</v>
      </c>
      <c r="G35" s="192"/>
      <c r="H35" s="193"/>
      <c r="I35" s="204"/>
    </row>
    <row r="36" spans="1:9" s="296" customFormat="1" ht="55.25" customHeight="1">
      <c r="A36" s="295" t="s">
        <v>1289</v>
      </c>
      <c r="B36" s="238" t="s">
        <v>2450</v>
      </c>
      <c r="C36" s="280" t="s">
        <v>17</v>
      </c>
      <c r="D36" s="280"/>
      <c r="E36" s="280" t="s">
        <v>293</v>
      </c>
      <c r="F36" s="258" t="s">
        <v>2451</v>
      </c>
      <c r="G36" s="192"/>
      <c r="H36" s="193"/>
      <c r="I36" s="204"/>
    </row>
    <row r="37" spans="1:9" s="296" customFormat="1" ht="45" customHeight="1">
      <c r="A37" s="295" t="s">
        <v>1290</v>
      </c>
      <c r="B37" s="238" t="s">
        <v>2397</v>
      </c>
      <c r="C37" s="194" t="s">
        <v>17</v>
      </c>
      <c r="D37" s="194"/>
      <c r="E37" s="194" t="s">
        <v>2280</v>
      </c>
      <c r="F37" s="258" t="s">
        <v>2398</v>
      </c>
      <c r="G37" s="184"/>
      <c r="H37" s="185"/>
      <c r="I37" s="186"/>
    </row>
    <row r="38" spans="1:9" s="296" customFormat="1" ht="54">
      <c r="A38" s="295" t="s">
        <v>1291</v>
      </c>
      <c r="B38" s="238" t="s">
        <v>2396</v>
      </c>
      <c r="C38" s="194" t="s">
        <v>17</v>
      </c>
      <c r="D38" s="194"/>
      <c r="E38" s="194" t="s">
        <v>2280</v>
      </c>
      <c r="F38" s="258" t="s">
        <v>2396</v>
      </c>
      <c r="G38" s="184"/>
      <c r="H38" s="185"/>
      <c r="I38" s="186"/>
    </row>
    <row r="39" spans="1:9" s="296" customFormat="1" ht="45" customHeight="1">
      <c r="A39" s="295" t="s">
        <v>1292</v>
      </c>
      <c r="B39" s="238" t="s">
        <v>2401</v>
      </c>
      <c r="C39" s="195" t="s">
        <v>17</v>
      </c>
      <c r="D39" s="195"/>
      <c r="E39" s="194" t="s">
        <v>2280</v>
      </c>
      <c r="F39" s="258" t="s">
        <v>2399</v>
      </c>
      <c r="G39" s="184"/>
      <c r="H39" s="185"/>
      <c r="I39" s="186"/>
    </row>
    <row r="40" spans="1:9" s="296" customFormat="1" ht="62.5" customHeight="1">
      <c r="A40" s="295" t="s">
        <v>1293</v>
      </c>
      <c r="B40" s="238" t="s">
        <v>2402</v>
      </c>
      <c r="C40" s="195" t="s">
        <v>17</v>
      </c>
      <c r="D40" s="195"/>
      <c r="E40" s="194" t="s">
        <v>2280</v>
      </c>
      <c r="F40" s="258" t="s">
        <v>2400</v>
      </c>
      <c r="G40" s="184"/>
      <c r="H40" s="185"/>
      <c r="I40" s="186"/>
    </row>
    <row r="41" spans="1:9" ht="45" customHeight="1">
      <c r="A41" s="295" t="s">
        <v>1959</v>
      </c>
      <c r="B41" s="238" t="s">
        <v>2452</v>
      </c>
      <c r="C41" s="191" t="s">
        <v>17</v>
      </c>
      <c r="D41" s="191"/>
      <c r="E41" s="194" t="s">
        <v>2411</v>
      </c>
      <c r="F41" s="258" t="s">
        <v>2453</v>
      </c>
      <c r="G41" s="184"/>
      <c r="H41" s="185"/>
      <c r="I41" s="186"/>
    </row>
    <row r="42" spans="1:9" ht="45" customHeight="1">
      <c r="A42" s="295" t="s">
        <v>1960</v>
      </c>
      <c r="B42" s="238" t="s">
        <v>2454</v>
      </c>
      <c r="C42" s="256" t="s">
        <v>17</v>
      </c>
      <c r="D42" s="191"/>
      <c r="E42" s="194" t="s">
        <v>2411</v>
      </c>
      <c r="F42" s="258" t="s">
        <v>2455</v>
      </c>
      <c r="G42" s="184"/>
      <c r="H42" s="185"/>
      <c r="I42" s="186"/>
    </row>
    <row r="43" spans="1:9" ht="47.25" customHeight="1">
      <c r="A43" s="295" t="s">
        <v>2198</v>
      </c>
      <c r="B43" s="238" t="s">
        <v>2358</v>
      </c>
      <c r="C43" s="256" t="s">
        <v>18</v>
      </c>
      <c r="D43" s="256"/>
      <c r="E43" s="256" t="s">
        <v>2280</v>
      </c>
      <c r="F43" s="258" t="s">
        <v>2358</v>
      </c>
      <c r="G43" s="184"/>
      <c r="H43" s="185"/>
      <c r="I43" s="186"/>
    </row>
    <row r="44" spans="1:9" ht="87.65" customHeight="1">
      <c r="A44" s="281" t="s">
        <v>2302</v>
      </c>
      <c r="B44" s="239" t="s">
        <v>2429</v>
      </c>
      <c r="C44" s="199" t="s">
        <v>17</v>
      </c>
      <c r="D44" s="199"/>
      <c r="E44" s="199" t="s">
        <v>2280</v>
      </c>
      <c r="F44" s="240" t="s">
        <v>2409</v>
      </c>
      <c r="G44" s="196" t="s">
        <v>2299</v>
      </c>
      <c r="H44" s="197" t="s">
        <v>2300</v>
      </c>
      <c r="I44" s="198" t="s">
        <v>2301</v>
      </c>
    </row>
    <row r="45" spans="1:9" ht="52">
      <c r="A45" s="281" t="s">
        <v>2303</v>
      </c>
      <c r="B45" s="239" t="s">
        <v>2456</v>
      </c>
      <c r="C45" s="199" t="s">
        <v>17</v>
      </c>
      <c r="D45" s="199"/>
      <c r="E45" s="199" t="s">
        <v>2280</v>
      </c>
      <c r="F45" s="240" t="s">
        <v>2430</v>
      </c>
      <c r="G45" s="196" t="s">
        <v>2299</v>
      </c>
      <c r="H45" s="197" t="s">
        <v>2300</v>
      </c>
      <c r="I45" s="198" t="s">
        <v>2301</v>
      </c>
    </row>
    <row r="46" spans="1:9" ht="45" customHeight="1">
      <c r="A46" s="281" t="s">
        <v>2304</v>
      </c>
      <c r="B46" s="239" t="s">
        <v>2457</v>
      </c>
      <c r="C46" s="199" t="s">
        <v>18</v>
      </c>
      <c r="D46" s="199"/>
      <c r="E46" s="199" t="s">
        <v>2280</v>
      </c>
      <c r="F46" s="240" t="s">
        <v>2458</v>
      </c>
      <c r="G46" s="184"/>
      <c r="H46" s="185"/>
      <c r="I46" s="186"/>
    </row>
    <row r="47" spans="1:9" ht="72.75" customHeight="1">
      <c r="A47" s="281" t="s">
        <v>2305</v>
      </c>
      <c r="B47" s="239" t="s">
        <v>2459</v>
      </c>
      <c r="C47" s="199" t="s">
        <v>17</v>
      </c>
      <c r="D47" s="199"/>
      <c r="E47" s="199" t="s">
        <v>2280</v>
      </c>
      <c r="F47" s="240" t="s">
        <v>2460</v>
      </c>
      <c r="G47" s="184"/>
      <c r="H47" s="185"/>
      <c r="I47" s="186"/>
    </row>
    <row r="48" spans="1:9" ht="94.5" customHeight="1">
      <c r="A48" s="281" t="s">
        <v>2307</v>
      </c>
      <c r="B48" s="239" t="s">
        <v>2461</v>
      </c>
      <c r="C48" s="199" t="s">
        <v>17</v>
      </c>
      <c r="D48" s="199"/>
      <c r="E48" s="199" t="s">
        <v>2280</v>
      </c>
      <c r="F48" s="240" t="s">
        <v>2462</v>
      </c>
      <c r="G48" s="184"/>
      <c r="H48" s="185"/>
      <c r="I48" s="186"/>
    </row>
    <row r="49" spans="1:9" ht="54" customHeight="1">
      <c r="A49" s="281" t="s">
        <v>2308</v>
      </c>
      <c r="B49" s="239" t="s">
        <v>2403</v>
      </c>
      <c r="C49" s="199" t="s">
        <v>17</v>
      </c>
      <c r="D49" s="199"/>
      <c r="E49" s="199" t="s">
        <v>2280</v>
      </c>
      <c r="F49" s="240" t="s">
        <v>2404</v>
      </c>
      <c r="G49" s="196" t="s">
        <v>2306</v>
      </c>
      <c r="H49" s="197" t="s">
        <v>61</v>
      </c>
      <c r="I49" s="198" t="s">
        <v>2301</v>
      </c>
    </row>
    <row r="50" spans="1:9" ht="52">
      <c r="A50" s="281" t="s">
        <v>2309</v>
      </c>
      <c r="B50" s="239" t="s">
        <v>2406</v>
      </c>
      <c r="C50" s="283" t="s">
        <v>2436</v>
      </c>
      <c r="D50" s="283"/>
      <c r="E50" s="283" t="s">
        <v>293</v>
      </c>
      <c r="F50" s="240" t="s">
        <v>2405</v>
      </c>
      <c r="G50" s="196" t="s">
        <v>2299</v>
      </c>
      <c r="H50" s="197" t="s">
        <v>61</v>
      </c>
      <c r="I50" s="198" t="s">
        <v>2301</v>
      </c>
    </row>
    <row r="51" spans="1:9" ht="39">
      <c r="A51" s="281" t="s">
        <v>2310</v>
      </c>
      <c r="B51" s="239" t="s">
        <v>2407</v>
      </c>
      <c r="C51" s="199" t="s">
        <v>17</v>
      </c>
      <c r="D51" s="199"/>
      <c r="E51" s="199" t="s">
        <v>293</v>
      </c>
      <c r="F51" s="240" t="s">
        <v>2359</v>
      </c>
      <c r="G51" s="184"/>
      <c r="H51" s="185"/>
      <c r="I51" s="186"/>
    </row>
    <row r="52" spans="1:9" ht="62" customHeight="1">
      <c r="A52" s="281" t="s">
        <v>2311</v>
      </c>
      <c r="B52" s="241" t="s">
        <v>2360</v>
      </c>
      <c r="C52" s="199" t="s">
        <v>2390</v>
      </c>
      <c r="D52" s="284"/>
      <c r="E52" s="284" t="s">
        <v>2280</v>
      </c>
      <c r="F52" s="240" t="s">
        <v>2361</v>
      </c>
      <c r="G52" s="184"/>
      <c r="H52" s="185"/>
      <c r="I52" s="186"/>
    </row>
    <row r="53" spans="1:9" ht="63" customHeight="1">
      <c r="A53" s="281" t="s">
        <v>2312</v>
      </c>
      <c r="B53" s="241" t="s">
        <v>2381</v>
      </c>
      <c r="C53" s="199" t="s">
        <v>2389</v>
      </c>
      <c r="D53" s="285"/>
      <c r="E53" s="285" t="s">
        <v>2280</v>
      </c>
      <c r="F53" s="240" t="s">
        <v>2362</v>
      </c>
      <c r="G53" s="184"/>
      <c r="H53" s="185"/>
      <c r="I53" s="186"/>
    </row>
    <row r="54" spans="1:9" ht="34.5" customHeight="1">
      <c r="A54" s="281" t="s">
        <v>2313</v>
      </c>
      <c r="B54" s="241" t="s">
        <v>2363</v>
      </c>
      <c r="C54" s="285" t="s">
        <v>17</v>
      </c>
      <c r="D54" s="285"/>
      <c r="E54" s="285" t="s">
        <v>2280</v>
      </c>
      <c r="F54" s="240" t="s">
        <v>2364</v>
      </c>
      <c r="G54" s="184"/>
      <c r="H54" s="185"/>
      <c r="I54" s="186"/>
    </row>
    <row r="55" spans="1:9" ht="45" customHeight="1">
      <c r="A55" s="281" t="s">
        <v>2314</v>
      </c>
      <c r="B55" s="241" t="s">
        <v>2365</v>
      </c>
      <c r="C55" s="285" t="s">
        <v>17</v>
      </c>
      <c r="D55" s="285"/>
      <c r="E55" s="285" t="s">
        <v>2280</v>
      </c>
      <c r="F55" s="240" t="s">
        <v>2366</v>
      </c>
      <c r="G55" s="184"/>
      <c r="H55" s="185"/>
      <c r="I55" s="186"/>
    </row>
    <row r="56" spans="1:9" ht="52">
      <c r="A56" s="281" t="s">
        <v>2315</v>
      </c>
      <c r="B56" s="241" t="s">
        <v>2463</v>
      </c>
      <c r="C56" s="285" t="s">
        <v>17</v>
      </c>
      <c r="D56" s="285"/>
      <c r="E56" s="285" t="s">
        <v>2411</v>
      </c>
      <c r="F56" s="240" t="s">
        <v>2464</v>
      </c>
      <c r="G56" s="196" t="s">
        <v>2299</v>
      </c>
      <c r="H56" s="197" t="s">
        <v>61</v>
      </c>
      <c r="I56" s="198" t="s">
        <v>2301</v>
      </c>
    </row>
    <row r="57" spans="1:9" ht="41.25" customHeight="1">
      <c r="A57" s="281" t="s">
        <v>2316</v>
      </c>
      <c r="B57" s="241" t="s">
        <v>2367</v>
      </c>
      <c r="C57" s="285" t="s">
        <v>18</v>
      </c>
      <c r="D57" s="285"/>
      <c r="E57" s="285" t="s">
        <v>2280</v>
      </c>
      <c r="F57" s="240" t="s">
        <v>2368</v>
      </c>
      <c r="G57" s="184"/>
      <c r="H57" s="185"/>
      <c r="I57" s="186"/>
    </row>
    <row r="58" spans="1:9" ht="39">
      <c r="A58" s="286" t="s">
        <v>2317</v>
      </c>
      <c r="B58" s="242" t="s">
        <v>2369</v>
      </c>
      <c r="C58" s="287" t="s">
        <v>17</v>
      </c>
      <c r="D58" s="287"/>
      <c r="E58" s="287" t="s">
        <v>2438</v>
      </c>
      <c r="F58" s="245" t="s">
        <v>2370</v>
      </c>
      <c r="G58" s="184"/>
      <c r="H58" s="185"/>
      <c r="I58" s="186"/>
    </row>
    <row r="59" spans="1:9" ht="36">
      <c r="A59" s="286" t="s">
        <v>2318</v>
      </c>
      <c r="B59" s="242" t="s">
        <v>2431</v>
      </c>
      <c r="C59" s="287" t="s">
        <v>17</v>
      </c>
      <c r="D59" s="287"/>
      <c r="E59" s="287" t="s">
        <v>2438</v>
      </c>
      <c r="F59" s="245" t="s">
        <v>2431</v>
      </c>
      <c r="G59" s="184"/>
      <c r="H59" s="185"/>
      <c r="I59" s="186"/>
    </row>
    <row r="60" spans="1:9" ht="36">
      <c r="A60" s="286" t="s">
        <v>2322</v>
      </c>
      <c r="B60" s="242" t="s">
        <v>2371</v>
      </c>
      <c r="C60" s="288" t="s">
        <v>17</v>
      </c>
      <c r="D60" s="288"/>
      <c r="E60" s="288" t="s">
        <v>293</v>
      </c>
      <c r="F60" s="245" t="s">
        <v>2371</v>
      </c>
      <c r="G60" s="184"/>
      <c r="H60" s="185"/>
      <c r="I60" s="186"/>
    </row>
    <row r="61" spans="1:9" ht="56.5" customHeight="1">
      <c r="A61" s="286" t="s">
        <v>2323</v>
      </c>
      <c r="B61" s="242" t="s">
        <v>2372</v>
      </c>
      <c r="C61" s="288" t="s">
        <v>17</v>
      </c>
      <c r="D61" s="288"/>
      <c r="E61" s="287" t="s">
        <v>2438</v>
      </c>
      <c r="F61" s="245" t="s">
        <v>2373</v>
      </c>
      <c r="G61" s="184"/>
      <c r="H61" s="185"/>
      <c r="I61" s="186"/>
    </row>
    <row r="62" spans="1:9" ht="56.5" customHeight="1">
      <c r="A62" s="286" t="s">
        <v>2325</v>
      </c>
      <c r="B62" s="242" t="s">
        <v>2432</v>
      </c>
      <c r="C62" s="288" t="s">
        <v>17</v>
      </c>
      <c r="D62" s="288"/>
      <c r="E62" s="287" t="s">
        <v>2438</v>
      </c>
      <c r="F62" s="245" t="s">
        <v>2432</v>
      </c>
      <c r="G62" s="184"/>
      <c r="H62" s="185"/>
      <c r="I62" s="186"/>
    </row>
    <row r="63" spans="1:9" ht="56.5" customHeight="1">
      <c r="A63" s="286" t="s">
        <v>2327</v>
      </c>
      <c r="B63" s="243" t="s">
        <v>2382</v>
      </c>
      <c r="C63" s="288" t="s">
        <v>17</v>
      </c>
      <c r="D63" s="288"/>
      <c r="E63" s="288" t="s">
        <v>2280</v>
      </c>
      <c r="F63" s="245" t="s">
        <v>2383</v>
      </c>
      <c r="G63" s="200" t="s">
        <v>2319</v>
      </c>
      <c r="H63" s="201" t="s">
        <v>2320</v>
      </c>
      <c r="I63" s="202" t="s">
        <v>2321</v>
      </c>
    </row>
    <row r="64" spans="1:9" ht="51" customHeight="1">
      <c r="A64" s="286" t="s">
        <v>2328</v>
      </c>
      <c r="B64" s="243" t="s">
        <v>2384</v>
      </c>
      <c r="C64" s="288" t="s">
        <v>17</v>
      </c>
      <c r="D64" s="288"/>
      <c r="E64" s="288" t="s">
        <v>2280</v>
      </c>
      <c r="F64" s="245" t="s">
        <v>2374</v>
      </c>
      <c r="G64" s="200" t="s">
        <v>2319</v>
      </c>
      <c r="H64" s="201" t="s">
        <v>2319</v>
      </c>
      <c r="I64" s="202" t="s">
        <v>2321</v>
      </c>
    </row>
    <row r="65" spans="1:9" ht="44.25" customHeight="1">
      <c r="A65" s="286" t="s">
        <v>2329</v>
      </c>
      <c r="B65" s="243" t="s">
        <v>2375</v>
      </c>
      <c r="C65" s="259" t="s">
        <v>17</v>
      </c>
      <c r="D65" s="259"/>
      <c r="E65" s="288" t="s">
        <v>2280</v>
      </c>
      <c r="F65" s="245" t="s">
        <v>2375</v>
      </c>
      <c r="G65" s="203" t="s">
        <v>2324</v>
      </c>
      <c r="H65" s="201" t="s">
        <v>61</v>
      </c>
      <c r="I65" s="202" t="s">
        <v>2321</v>
      </c>
    </row>
    <row r="66" spans="1:9" ht="64.5" customHeight="1">
      <c r="A66" s="286" t="s">
        <v>2417</v>
      </c>
      <c r="B66" s="243" t="s">
        <v>2376</v>
      </c>
      <c r="C66" s="259" t="s">
        <v>17</v>
      </c>
      <c r="D66" s="259"/>
      <c r="E66" s="288" t="s">
        <v>2280</v>
      </c>
      <c r="F66" s="245" t="s">
        <v>2376</v>
      </c>
      <c r="G66" s="203" t="s">
        <v>2326</v>
      </c>
      <c r="H66" s="201" t="s">
        <v>61</v>
      </c>
      <c r="I66" s="202" t="s">
        <v>2321</v>
      </c>
    </row>
    <row r="67" spans="1:9" ht="45" customHeight="1">
      <c r="A67" s="286" t="s">
        <v>2418</v>
      </c>
      <c r="B67" s="243" t="s">
        <v>2377</v>
      </c>
      <c r="C67" s="259" t="s">
        <v>2388</v>
      </c>
      <c r="D67" s="259"/>
      <c r="E67" s="259" t="s">
        <v>2411</v>
      </c>
      <c r="F67" s="245" t="s">
        <v>2377</v>
      </c>
      <c r="G67" s="184"/>
      <c r="H67" s="185"/>
      <c r="I67" s="186"/>
    </row>
    <row r="68" spans="1:9" ht="72">
      <c r="A68" s="286" t="s">
        <v>2439</v>
      </c>
      <c r="B68" s="243" t="s">
        <v>2465</v>
      </c>
      <c r="C68" s="259" t="s">
        <v>17</v>
      </c>
      <c r="D68" s="259"/>
      <c r="E68" s="259" t="s">
        <v>2411</v>
      </c>
      <c r="F68" s="245" t="s">
        <v>2465</v>
      </c>
      <c r="G68" s="184"/>
      <c r="H68" s="185"/>
      <c r="I68" s="186"/>
    </row>
    <row r="69" spans="1:9" ht="36">
      <c r="A69" s="286" t="s">
        <v>2440</v>
      </c>
      <c r="B69" s="243" t="s">
        <v>2466</v>
      </c>
      <c r="C69" s="290" t="s">
        <v>54</v>
      </c>
      <c r="D69" s="290"/>
      <c r="E69" s="259" t="s">
        <v>293</v>
      </c>
      <c r="F69" s="245" t="s">
        <v>2466</v>
      </c>
      <c r="G69" s="192"/>
      <c r="H69" s="193"/>
      <c r="I69" s="204"/>
    </row>
    <row r="70" spans="1:9" ht="54.75" customHeight="1">
      <c r="A70" s="286" t="s">
        <v>2441</v>
      </c>
      <c r="B70" s="243" t="s">
        <v>2378</v>
      </c>
      <c r="C70" s="290" t="s">
        <v>18</v>
      </c>
      <c r="D70" s="290"/>
      <c r="E70" s="290" t="s">
        <v>2280</v>
      </c>
      <c r="F70" s="245" t="s">
        <v>2378</v>
      </c>
      <c r="G70" s="192"/>
      <c r="H70" s="193"/>
      <c r="I70" s="204"/>
    </row>
    <row r="74" spans="1:9" ht="45" customHeight="1">
      <c r="B74" s="297"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tabSelected="1" zoomScale="74" zoomScaleNormal="74" workbookViewId="0">
      <pane xSplit="3" ySplit="2" topLeftCell="H13" activePane="bottomRight" state="frozen"/>
      <selection pane="topRight" activeCell="D1" sqref="D1"/>
      <selection pane="bottomLeft" activeCell="A3" sqref="A3"/>
      <selection pane="bottomRight" activeCell="O15" sqref="O15:P15"/>
    </sheetView>
  </sheetViews>
  <sheetFormatPr defaultColWidth="9" defaultRowHeight="15.5"/>
  <cols>
    <col min="1" max="1" width="4.1640625" style="57" customWidth="1"/>
    <col min="2" max="2" width="19.33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2" width="9.58203125" style="57" customWidth="1"/>
    <col min="13" max="13" width="14.1640625" style="57" customWidth="1"/>
    <col min="14" max="15" width="17" style="57" customWidth="1"/>
    <col min="16" max="16" width="24.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108.5">
      <c r="B1"/>
      <c r="C1"/>
      <c r="D1" s="774" t="s">
        <v>2479</v>
      </c>
      <c r="E1" s="775" t="s">
        <v>2480</v>
      </c>
      <c r="F1" s="776" t="s">
        <v>2481</v>
      </c>
      <c r="G1" s="777" t="s">
        <v>2985</v>
      </c>
      <c r="H1" s="778" t="s">
        <v>2990</v>
      </c>
      <c r="I1" s="778" t="s">
        <v>3171</v>
      </c>
      <c r="J1" s="779" t="s">
        <v>2628</v>
      </c>
      <c r="K1" s="779" t="s">
        <v>2630</v>
      </c>
      <c r="L1" s="780" t="s">
        <v>3177</v>
      </c>
      <c r="M1" s="780" t="s">
        <v>3178</v>
      </c>
      <c r="N1" s="780" t="s">
        <v>3179</v>
      </c>
      <c r="O1" s="780" t="s">
        <v>3180</v>
      </c>
    </row>
    <row r="2" spans="2:35">
      <c r="B2"/>
      <c r="C2" s="766" t="s">
        <v>3044</v>
      </c>
      <c r="D2" s="765">
        <f>HRP_ref!C2</f>
        <v>112425</v>
      </c>
      <c r="E2" s="765">
        <f>HRP_ref!D2</f>
        <v>97852</v>
      </c>
      <c r="F2" s="765">
        <f>HRP_ref!E2</f>
        <v>51806</v>
      </c>
      <c r="G2" s="765">
        <f>HRP_ref!F2</f>
        <v>1272</v>
      </c>
      <c r="H2" s="765">
        <f>HRP_ref!G2</f>
        <v>7400</v>
      </c>
      <c r="I2" s="765">
        <f>HRP_ref!H2</f>
        <v>600</v>
      </c>
      <c r="J2" s="765">
        <f>HRP_ref!I2</f>
        <v>50574.624535315983</v>
      </c>
      <c r="K2" s="765">
        <f>HRP_ref!J2</f>
        <v>26581</v>
      </c>
      <c r="L2" s="765">
        <f>HRP_ref!K2</f>
        <v>197</v>
      </c>
      <c r="M2" s="765">
        <f>HRP_ref!L2</f>
        <v>0</v>
      </c>
      <c r="N2" s="765">
        <f>HRP_ref!M2</f>
        <v>7400</v>
      </c>
      <c r="O2" s="765">
        <f>HRP_ref!N2</f>
        <v>600</v>
      </c>
      <c r="T2"/>
      <c r="U2"/>
      <c r="V2" s="451"/>
      <c r="W2" s="451"/>
      <c r="X2" s="451"/>
    </row>
    <row r="3" spans="2:35" s="58" customFormat="1">
      <c r="B3"/>
      <c r="C3"/>
      <c r="D3" s="57"/>
      <c r="E3" s="57"/>
      <c r="F3" s="57"/>
      <c r="G3" s="57"/>
      <c r="H3" s="57"/>
      <c r="O3" s="57"/>
      <c r="P3" s="57"/>
      <c r="Q3" s="57"/>
      <c r="R3" s="57"/>
      <c r="S3"/>
      <c r="U3" s="451"/>
      <c r="V3" s="451"/>
      <c r="W3" s="451"/>
      <c r="Y3" s="57"/>
      <c r="Z3" s="57"/>
      <c r="AA3" s="57"/>
      <c r="AB3" s="57"/>
      <c r="AC3" s="57"/>
    </row>
    <row r="4" spans="2:35">
      <c r="B4" s="387" t="s">
        <v>34</v>
      </c>
      <c r="C4" s="57" t="s">
        <v>34</v>
      </c>
      <c r="K4" s="1007"/>
      <c r="L4" s="1007"/>
      <c r="M4" s="1007"/>
      <c r="S4"/>
    </row>
    <row r="5" spans="2:35">
      <c r="B5"/>
      <c r="C5"/>
      <c r="D5" s="389" t="s">
        <v>2624</v>
      </c>
      <c r="E5"/>
      <c r="F5"/>
      <c r="G5"/>
      <c r="H5"/>
      <c r="I5"/>
      <c r="J5" s="350"/>
      <c r="K5" s="1007"/>
      <c r="L5" s="1007"/>
      <c r="M5" s="1007"/>
      <c r="O5"/>
      <c r="P5"/>
      <c r="Q5"/>
      <c r="R5"/>
      <c r="S5"/>
      <c r="U5" s="451"/>
      <c r="V5" s="451"/>
      <c r="W5" s="451"/>
    </row>
    <row r="6" spans="2:35" ht="62">
      <c r="C6" s="885" t="s">
        <v>1630</v>
      </c>
      <c r="D6" s="886" t="s">
        <v>2479</v>
      </c>
      <c r="E6" s="887" t="s">
        <v>2480</v>
      </c>
      <c r="F6" s="888" t="s">
        <v>2481</v>
      </c>
      <c r="G6" s="893" t="s">
        <v>2985</v>
      </c>
      <c r="H6" s="895" t="s">
        <v>2990</v>
      </c>
      <c r="I6" s="891" t="s">
        <v>2628</v>
      </c>
      <c r="J6" s="891" t="s">
        <v>2630</v>
      </c>
      <c r="K6"/>
      <c r="L6"/>
      <c r="M6"/>
      <c r="O6"/>
      <c r="P6"/>
      <c r="Q6"/>
      <c r="R6"/>
      <c r="S6"/>
      <c r="T6"/>
      <c r="U6" s="451"/>
      <c r="V6" s="451"/>
      <c r="W6" s="451"/>
      <c r="X6"/>
      <c r="AD6" s="387"/>
      <c r="AE6" s="387"/>
      <c r="AF6" s="387"/>
      <c r="AG6" s="387"/>
      <c r="AH6" s="387"/>
      <c r="AI6" s="387"/>
    </row>
    <row r="7" spans="2:35">
      <c r="B7" s="878" t="s">
        <v>293</v>
      </c>
      <c r="C7" s="884"/>
      <c r="D7" s="881"/>
      <c r="E7" s="882"/>
      <c r="F7" s="883"/>
      <c r="G7" s="892"/>
      <c r="H7" s="894"/>
      <c r="I7" s="890"/>
      <c r="J7" s="890"/>
      <c r="K7"/>
      <c r="L7"/>
      <c r="M7"/>
      <c r="O7"/>
      <c r="P7"/>
      <c r="Q7"/>
      <c r="R7"/>
      <c r="S7"/>
      <c r="T7"/>
      <c r="U7" s="451"/>
      <c r="V7" s="451"/>
      <c r="W7" s="451"/>
      <c r="X7"/>
    </row>
    <row r="8" spans="2:35">
      <c r="B8" s="880" t="s">
        <v>3156</v>
      </c>
      <c r="C8" s="884">
        <v>115345</v>
      </c>
      <c r="D8" s="881">
        <v>112425</v>
      </c>
      <c r="E8" s="882">
        <v>97852</v>
      </c>
      <c r="F8" s="883">
        <v>51806</v>
      </c>
      <c r="G8" s="892">
        <v>1272</v>
      </c>
      <c r="H8" s="894">
        <v>7400</v>
      </c>
      <c r="I8" s="890">
        <v>50574.624535315983</v>
      </c>
      <c r="J8" s="890">
        <v>26581</v>
      </c>
      <c r="K8"/>
      <c r="L8"/>
      <c r="M8"/>
      <c r="O8"/>
      <c r="P8"/>
      <c r="Q8"/>
      <c r="R8"/>
      <c r="S8"/>
      <c r="T8"/>
      <c r="U8" s="451"/>
      <c r="V8" s="451"/>
      <c r="W8" s="451"/>
      <c r="X8"/>
      <c r="Y8"/>
      <c r="Z8"/>
      <c r="AA8"/>
      <c r="AB8"/>
      <c r="AC8"/>
    </row>
    <row r="9" spans="2:35">
      <c r="B9" s="878" t="s">
        <v>1621</v>
      </c>
      <c r="C9" s="884">
        <v>115345</v>
      </c>
      <c r="D9" s="881">
        <v>112425</v>
      </c>
      <c r="E9" s="882">
        <v>97852</v>
      </c>
      <c r="F9" s="883">
        <v>51806</v>
      </c>
      <c r="G9" s="892">
        <v>1272</v>
      </c>
      <c r="H9" s="894">
        <v>7400</v>
      </c>
      <c r="I9" s="890">
        <v>50574.624535315983</v>
      </c>
      <c r="J9" s="890">
        <v>26581</v>
      </c>
      <c r="K9" s="59"/>
      <c r="M9"/>
      <c r="N9"/>
      <c r="O9"/>
      <c r="P9"/>
      <c r="Q9"/>
      <c r="R9"/>
      <c r="S9"/>
      <c r="T9"/>
      <c r="U9" s="451"/>
      <c r="V9" s="451"/>
      <c r="W9" s="451"/>
      <c r="X9"/>
      <c r="Y9"/>
    </row>
    <row r="10" spans="2:35">
      <c r="B10"/>
      <c r="C10"/>
      <c r="D10"/>
      <c r="E10"/>
      <c r="F10"/>
      <c r="G10"/>
      <c r="H10"/>
      <c r="I10"/>
      <c r="J10"/>
      <c r="K10" s="59"/>
      <c r="M10"/>
      <c r="N10"/>
      <c r="O10"/>
      <c r="P10"/>
      <c r="Q10"/>
      <c r="R10"/>
      <c r="S10" s="451"/>
      <c r="T10" s="451"/>
      <c r="U10" s="451"/>
      <c r="V10" s="451"/>
      <c r="W10" s="451"/>
      <c r="X10"/>
      <c r="Y10"/>
    </row>
    <row r="11" spans="2:35">
      <c r="B11"/>
      <c r="C11"/>
      <c r="D11"/>
      <c r="E11"/>
      <c r="F11"/>
      <c r="G11"/>
      <c r="H11"/>
      <c r="I11"/>
      <c r="J11"/>
      <c r="R11"/>
      <c r="S11" s="451"/>
      <c r="T11" s="451"/>
      <c r="U11" s="451"/>
      <c r="V11" s="451"/>
      <c r="W11" s="451"/>
    </row>
    <row r="12" spans="2:35">
      <c r="B12"/>
      <c r="C12"/>
      <c r="D12"/>
      <c r="E12"/>
      <c r="F12"/>
      <c r="G12"/>
      <c r="H12"/>
      <c r="I12"/>
      <c r="J12"/>
      <c r="M12"/>
      <c r="N12"/>
      <c r="O12"/>
      <c r="P12"/>
      <c r="Q12"/>
      <c r="S12"/>
      <c r="T12"/>
      <c r="U12"/>
      <c r="V12"/>
      <c r="W12"/>
    </row>
    <row r="13" spans="2:35">
      <c r="C13" s="149"/>
      <c r="D13" s="390"/>
      <c r="E13" s="149"/>
      <c r="F13" s="149"/>
      <c r="M13"/>
      <c r="N13"/>
      <c r="O13"/>
      <c r="P13" s="673">
        <v>0.47395118852676554</v>
      </c>
      <c r="Q13" s="828">
        <v>0.52604881147323446</v>
      </c>
      <c r="R13" s="673">
        <v>0.36707281803424513</v>
      </c>
      <c r="S13" s="673">
        <v>0.54496768878701107</v>
      </c>
      <c r="T13" s="673">
        <v>8.795949317874395E-2</v>
      </c>
      <c r="U13"/>
      <c r="W13"/>
      <c r="X13"/>
      <c r="Y13"/>
      <c r="Z13"/>
    </row>
    <row r="14" spans="2:35" ht="16" thickBot="1">
      <c r="C14" s="149"/>
      <c r="D14" s="391"/>
      <c r="E14" s="149"/>
      <c r="F14" s="149"/>
      <c r="Q14" s="57" t="s">
        <v>3187</v>
      </c>
    </row>
    <row r="15" spans="2:35" ht="31.5" thickBot="1">
      <c r="G15" s="905" t="s">
        <v>1625</v>
      </c>
      <c r="H15" s="906"/>
      <c r="I15" s="906"/>
      <c r="J15" s="906"/>
      <c r="K15" s="906"/>
      <c r="L15" s="906"/>
      <c r="M15" s="906"/>
      <c r="O15" s="828"/>
      <c r="P15" s="59"/>
      <c r="Q15" s="588" t="s">
        <v>1891</v>
      </c>
      <c r="R15" s="589"/>
      <c r="S15" s="1008" t="s">
        <v>1892</v>
      </c>
      <c r="T15" s="1008"/>
      <c r="U15" s="1009"/>
    </row>
    <row r="16" spans="2:35" ht="60" customHeight="1" thickTop="1">
      <c r="C16" s="72" t="s">
        <v>1622</v>
      </c>
      <c r="D16" s="586" t="s">
        <v>1623</v>
      </c>
      <c r="E16" s="586" t="s">
        <v>1624</v>
      </c>
      <c r="F16" s="752" t="s">
        <v>1631</v>
      </c>
      <c r="G16" s="757" t="s">
        <v>1082</v>
      </c>
      <c r="H16" s="758" t="s">
        <v>3182</v>
      </c>
      <c r="I16" s="758" t="s">
        <v>3183</v>
      </c>
      <c r="J16" s="758" t="s">
        <v>3184</v>
      </c>
      <c r="K16" s="847" t="s">
        <v>230</v>
      </c>
      <c r="L16" s="945" t="s">
        <v>3223</v>
      </c>
      <c r="M16" s="945" t="s">
        <v>3224</v>
      </c>
      <c r="N16" s="759" t="s">
        <v>2905</v>
      </c>
      <c r="O16" s="755" t="s">
        <v>1981</v>
      </c>
      <c r="P16" s="73" t="s">
        <v>1982</v>
      </c>
      <c r="Q16" s="590" t="s">
        <v>3185</v>
      </c>
      <c r="R16" s="591" t="s">
        <v>3186</v>
      </c>
      <c r="S16" s="591" t="s">
        <v>3188</v>
      </c>
      <c r="T16" s="591" t="s">
        <v>3189</v>
      </c>
      <c r="U16" s="592" t="s">
        <v>3190</v>
      </c>
      <c r="V16" s="73" t="s">
        <v>1627</v>
      </c>
    </row>
    <row r="17" spans="1:60" ht="62">
      <c r="C17" s="795" t="s">
        <v>2964</v>
      </c>
      <c r="D17" s="773" t="s">
        <v>293</v>
      </c>
      <c r="E17" s="773">
        <v>1238941.7131009183</v>
      </c>
      <c r="F17" s="923">
        <v>453333.44540623878</v>
      </c>
      <c r="G17" s="924">
        <f>D2</f>
        <v>112425</v>
      </c>
      <c r="H17" s="848">
        <v>34028</v>
      </c>
      <c r="I17" s="848">
        <v>16339</v>
      </c>
      <c r="J17" s="848">
        <v>6437</v>
      </c>
      <c r="K17" s="848"/>
      <c r="L17" s="848">
        <v>7607</v>
      </c>
      <c r="M17" s="848">
        <v>52069</v>
      </c>
      <c r="N17" s="760">
        <f t="shared" ref="N17:N24" si="0">SUM(G17:M17)</f>
        <v>228905</v>
      </c>
      <c r="O17" s="1015">
        <f>N17/F17</f>
        <v>0.50493737516956172</v>
      </c>
      <c r="P17" s="1016">
        <f t="shared" ref="P17:P19" si="1">1-O17</f>
        <v>0.49506262483043828</v>
      </c>
      <c r="Q17" s="773">
        <f t="shared" ref="Q17:Q24" si="2">N17*$P$13</f>
        <v>108489.79680971926</v>
      </c>
      <c r="R17" s="773">
        <f t="shared" ref="R17:R24" si="3">N17*$Q$13</f>
        <v>120415.20319028074</v>
      </c>
      <c r="S17" s="773">
        <f t="shared" ref="S17:S24" si="4">N17*$R$13</f>
        <v>84024.80341212888</v>
      </c>
      <c r="T17" s="773">
        <f t="shared" ref="T17:T24" si="5">N17*$S$13</f>
        <v>124745.82880179078</v>
      </c>
      <c r="U17" s="773">
        <f t="shared" ref="U17:U24" si="6">N17*$T$13</f>
        <v>20134.367786080384</v>
      </c>
      <c r="V17" s="773">
        <f t="shared" ref="V17:V24" si="7">F17-N17</f>
        <v>224428.44540623878</v>
      </c>
    </row>
    <row r="18" spans="1:60" ht="62">
      <c r="C18" s="798" t="s">
        <v>2965</v>
      </c>
      <c r="D18" s="771" t="s">
        <v>293</v>
      </c>
      <c r="E18" s="771">
        <v>1238941.7131009183</v>
      </c>
      <c r="F18" s="771">
        <v>277344.1113515597</v>
      </c>
      <c r="G18" s="908">
        <f>E2</f>
        <v>97852</v>
      </c>
      <c r="H18" s="849">
        <v>24368</v>
      </c>
      <c r="I18" s="849">
        <v>300</v>
      </c>
      <c r="J18" s="849">
        <v>792</v>
      </c>
      <c r="K18" s="849"/>
      <c r="L18" s="849"/>
      <c r="M18" s="912">
        <v>22946</v>
      </c>
      <c r="N18" s="760">
        <f t="shared" si="0"/>
        <v>146258</v>
      </c>
      <c r="O18" s="812">
        <f t="shared" ref="O17:O24" si="8">N18/F18</f>
        <v>0.52735210164460367</v>
      </c>
      <c r="P18" s="772">
        <f t="shared" si="1"/>
        <v>0.47264789835539633</v>
      </c>
      <c r="Q18" s="771">
        <f t="shared" si="2"/>
        <v>69319.15293154768</v>
      </c>
      <c r="R18" s="771">
        <f t="shared" si="3"/>
        <v>76938.84706845232</v>
      </c>
      <c r="S18" s="771">
        <f t="shared" si="4"/>
        <v>53687.336220052624</v>
      </c>
      <c r="T18" s="771">
        <f t="shared" si="5"/>
        <v>79705.884226610666</v>
      </c>
      <c r="U18" s="771">
        <f t="shared" si="6"/>
        <v>12864.779553336733</v>
      </c>
      <c r="V18" s="771">
        <f t="shared" si="7"/>
        <v>131086.1113515597</v>
      </c>
    </row>
    <row r="19" spans="1:60" ht="77.5">
      <c r="B19" s="149"/>
      <c r="C19" s="797" t="s">
        <v>2966</v>
      </c>
      <c r="D19" s="769" t="s">
        <v>293</v>
      </c>
      <c r="E19" s="769">
        <v>1238941.7131009183</v>
      </c>
      <c r="F19" s="769">
        <v>511996.55675779848</v>
      </c>
      <c r="G19" s="913">
        <f>F2</f>
        <v>51806</v>
      </c>
      <c r="H19" s="850">
        <v>30651</v>
      </c>
      <c r="I19" s="850">
        <v>18757</v>
      </c>
      <c r="J19" s="850">
        <v>6915</v>
      </c>
      <c r="K19" s="850"/>
      <c r="L19" s="850">
        <v>29448</v>
      </c>
      <c r="M19" s="914">
        <v>31760</v>
      </c>
      <c r="N19" s="760">
        <f t="shared" si="0"/>
        <v>169337</v>
      </c>
      <c r="O19" s="813">
        <f t="shared" si="8"/>
        <v>0.33073855236902577</v>
      </c>
      <c r="P19" s="770">
        <f t="shared" si="1"/>
        <v>0.66926144763097417</v>
      </c>
      <c r="Q19" s="769">
        <f t="shared" si="2"/>
        <v>80257.472411556897</v>
      </c>
      <c r="R19" s="769">
        <f t="shared" si="3"/>
        <v>89079.527588443103</v>
      </c>
      <c r="S19" s="769">
        <f t="shared" si="4"/>
        <v>62159.009787464965</v>
      </c>
      <c r="T19" s="769">
        <f t="shared" si="5"/>
        <v>92283.193516126092</v>
      </c>
      <c r="U19" s="769">
        <f t="shared" si="6"/>
        <v>14894.796696408965</v>
      </c>
      <c r="V19" s="769">
        <f t="shared" si="7"/>
        <v>342659.55675779848</v>
      </c>
    </row>
    <row r="20" spans="1:60" s="587" customFormat="1" ht="55.5">
      <c r="B20" s="661"/>
      <c r="C20" s="800" t="s">
        <v>2968</v>
      </c>
      <c r="D20" s="767" t="s">
        <v>293</v>
      </c>
      <c r="E20" s="767">
        <v>138485.43565504593</v>
      </c>
      <c r="F20" s="811">
        <v>57760.085675779846</v>
      </c>
      <c r="G20" s="915">
        <f>G2</f>
        <v>1272</v>
      </c>
      <c r="H20" s="916">
        <v>24</v>
      </c>
      <c r="I20" s="916"/>
      <c r="J20" s="916">
        <v>1711</v>
      </c>
      <c r="K20" s="916"/>
      <c r="L20" s="916"/>
      <c r="M20" s="916">
        <v>30974</v>
      </c>
      <c r="N20" s="760">
        <f t="shared" si="0"/>
        <v>33981</v>
      </c>
      <c r="O20" s="817">
        <f t="shared" si="8"/>
        <v>0.58831283926313538</v>
      </c>
      <c r="P20" s="768">
        <f t="shared" ref="P20" si="9">1-O20</f>
        <v>0.41168716073686462</v>
      </c>
      <c r="Q20" s="767">
        <f t="shared" si="2"/>
        <v>16105.335337328021</v>
      </c>
      <c r="R20" s="767">
        <f t="shared" si="3"/>
        <v>17875.664662671981</v>
      </c>
      <c r="S20" s="767">
        <f t="shared" si="4"/>
        <v>12473.501429621683</v>
      </c>
      <c r="T20" s="767">
        <f t="shared" si="5"/>
        <v>18518.547032671424</v>
      </c>
      <c r="U20" s="767">
        <f t="shared" si="6"/>
        <v>2988.9515377068983</v>
      </c>
      <c r="V20" s="767">
        <f t="shared" si="7"/>
        <v>23779.085675779846</v>
      </c>
      <c r="W20" s="767"/>
      <c r="X20" s="767"/>
      <c r="Y20" s="767"/>
      <c r="Z20" s="767"/>
      <c r="AA20" s="767"/>
      <c r="AB20" s="767"/>
      <c r="AC20" s="767"/>
    </row>
    <row r="21" spans="1:60" s="587" customFormat="1" ht="55.5">
      <c r="B21" s="661"/>
      <c r="C21" s="799" t="s">
        <v>3160</v>
      </c>
      <c r="D21" s="724" t="s">
        <v>293</v>
      </c>
      <c r="E21" s="731">
        <v>28428.530000000002</v>
      </c>
      <c r="F21" s="753">
        <v>10934.050000000001</v>
      </c>
      <c r="G21" s="917">
        <f>H2</f>
        <v>7400</v>
      </c>
      <c r="H21" s="732"/>
      <c r="I21" s="732"/>
      <c r="J21" s="732"/>
      <c r="K21" s="732"/>
      <c r="L21" s="732"/>
      <c r="M21" s="732"/>
      <c r="N21" s="760">
        <f t="shared" si="0"/>
        <v>7400</v>
      </c>
      <c r="O21" s="815">
        <f t="shared" si="8"/>
        <v>0.67678490586745066</v>
      </c>
      <c r="P21" s="816">
        <f t="shared" ref="P21" si="10">1-O21</f>
        <v>0.32321509413254934</v>
      </c>
      <c r="Q21" s="732">
        <f t="shared" si="2"/>
        <v>3507.2387950980651</v>
      </c>
      <c r="R21" s="732">
        <f t="shared" si="3"/>
        <v>3892.7612049019349</v>
      </c>
      <c r="S21" s="732">
        <f t="shared" si="4"/>
        <v>2716.3388534534138</v>
      </c>
      <c r="T21" s="732">
        <f t="shared" si="5"/>
        <v>4032.7608970238821</v>
      </c>
      <c r="U21" s="732">
        <f t="shared" si="6"/>
        <v>650.90024952270528</v>
      </c>
      <c r="V21" s="732">
        <f t="shared" si="7"/>
        <v>3534.0500000000011</v>
      </c>
    </row>
    <row r="22" spans="1:60" s="587" customFormat="1" ht="55.5">
      <c r="B22" s="661"/>
      <c r="C22" s="799" t="s">
        <v>3161</v>
      </c>
      <c r="D22" s="724" t="s">
        <v>293</v>
      </c>
      <c r="E22" s="731">
        <v>21868.100000000002</v>
      </c>
      <c r="F22" s="753">
        <v>6560.4299999999994</v>
      </c>
      <c r="G22" s="918">
        <f>I2</f>
        <v>600</v>
      </c>
      <c r="H22" s="861"/>
      <c r="I22" s="861"/>
      <c r="J22" s="861"/>
      <c r="K22" s="861"/>
      <c r="L22" s="861"/>
      <c r="M22" s="861"/>
      <c r="N22" s="760">
        <f t="shared" si="0"/>
        <v>600</v>
      </c>
      <c r="O22" s="815">
        <f t="shared" si="8"/>
        <v>9.1457419711817672E-2</v>
      </c>
      <c r="P22" s="816">
        <f t="shared" ref="P22" si="11">1-O22</f>
        <v>0.90854258028818236</v>
      </c>
      <c r="Q22" s="732">
        <f t="shared" si="2"/>
        <v>284.37071311605933</v>
      </c>
      <c r="R22" s="732">
        <f t="shared" si="3"/>
        <v>315.62928688394067</v>
      </c>
      <c r="S22" s="732">
        <f t="shared" si="4"/>
        <v>220.24369082054707</v>
      </c>
      <c r="T22" s="732">
        <f t="shared" si="5"/>
        <v>326.98061327220665</v>
      </c>
      <c r="U22" s="732">
        <f t="shared" si="6"/>
        <v>52.775695907246373</v>
      </c>
      <c r="V22" s="732">
        <f t="shared" si="7"/>
        <v>5960.4299999999994</v>
      </c>
    </row>
    <row r="23" spans="1:60" ht="31">
      <c r="B23" s="794"/>
      <c r="C23" s="796" t="s">
        <v>3181</v>
      </c>
      <c r="D23" s="585" t="s">
        <v>293</v>
      </c>
      <c r="E23" s="582">
        <v>1238941.7131009183</v>
      </c>
      <c r="F23" s="754">
        <v>511996.55675779848</v>
      </c>
      <c r="G23" s="919">
        <f>K2</f>
        <v>26581</v>
      </c>
      <c r="H23" s="909">
        <v>4891</v>
      </c>
      <c r="I23" s="910">
        <v>4560</v>
      </c>
      <c r="J23" s="910">
        <v>6804</v>
      </c>
      <c r="K23" s="910"/>
      <c r="L23" s="910">
        <v>29448</v>
      </c>
      <c r="M23" s="920">
        <v>31760</v>
      </c>
      <c r="N23" s="760">
        <f t="shared" si="0"/>
        <v>104044</v>
      </c>
      <c r="O23" s="756">
        <f t="shared" si="8"/>
        <v>0.20321230411949495</v>
      </c>
      <c r="P23" s="584">
        <f t="shared" ref="P23" si="12">1-O23</f>
        <v>0.79678769588050502</v>
      </c>
      <c r="Q23" s="583">
        <f t="shared" si="2"/>
        <v>49311.777459078796</v>
      </c>
      <c r="R23" s="583">
        <f t="shared" si="3"/>
        <v>54732.222540921204</v>
      </c>
      <c r="S23" s="583">
        <f t="shared" si="4"/>
        <v>38191.724279554997</v>
      </c>
      <c r="T23" s="583">
        <f t="shared" si="5"/>
        <v>56700.618212155779</v>
      </c>
      <c r="U23" s="583">
        <f t="shared" si="6"/>
        <v>9151.6575082892359</v>
      </c>
      <c r="V23" s="583">
        <f t="shared" si="7"/>
        <v>407952.55675779848</v>
      </c>
    </row>
    <row r="24" spans="1:60" ht="31.5" thickBot="1">
      <c r="B24" s="794"/>
      <c r="C24" s="796" t="s">
        <v>2629</v>
      </c>
      <c r="D24" s="585" t="s">
        <v>293</v>
      </c>
      <c r="E24" s="582">
        <v>1238941.7131009183</v>
      </c>
      <c r="F24" s="754">
        <v>511996.55675779848</v>
      </c>
      <c r="G24" s="921">
        <f>J2</f>
        <v>50574.624535315983</v>
      </c>
      <c r="H24" s="851">
        <v>29584</v>
      </c>
      <c r="I24" s="907">
        <v>16883</v>
      </c>
      <c r="J24" s="907">
        <v>6915</v>
      </c>
      <c r="K24" s="907"/>
      <c r="L24" s="907">
        <v>29448</v>
      </c>
      <c r="M24" s="922">
        <v>31760</v>
      </c>
      <c r="N24" s="911">
        <f t="shared" si="0"/>
        <v>165164.62453531599</v>
      </c>
      <c r="O24" s="756">
        <f t="shared" si="8"/>
        <v>0.32258932673535073</v>
      </c>
      <c r="P24" s="584">
        <f t="shared" ref="P24" si="13">1-O24</f>
        <v>0.67741067326464921</v>
      </c>
      <c r="Q24" s="583">
        <f t="shared" si="2"/>
        <v>78279.970101089988</v>
      </c>
      <c r="R24" s="583">
        <f t="shared" si="3"/>
        <v>86884.654434226002</v>
      </c>
      <c r="S24" s="583">
        <f t="shared" si="4"/>
        <v>60627.444167746464</v>
      </c>
      <c r="T24" s="583">
        <f t="shared" si="5"/>
        <v>90009.383702385618</v>
      </c>
      <c r="U24" s="583">
        <f t="shared" si="6"/>
        <v>14527.796665183932</v>
      </c>
      <c r="V24" s="583">
        <f t="shared" si="7"/>
        <v>346831.93222248252</v>
      </c>
    </row>
    <row r="25" spans="1:60" ht="16" thickTop="1">
      <c r="C25"/>
      <c r="D25"/>
      <c r="V25"/>
      <c r="W25"/>
      <c r="AP25"/>
      <c r="AQ25"/>
    </row>
    <row r="26" spans="1:60">
      <c r="C26"/>
      <c r="D26"/>
    </row>
    <row r="27" spans="1:60" ht="23.5">
      <c r="A27" s="342" t="s">
        <v>293</v>
      </c>
      <c r="B27" s="340"/>
      <c r="C27" s="340"/>
      <c r="D27" s="340"/>
      <c r="E27" s="340"/>
      <c r="F27" s="340"/>
      <c r="G27" s="340"/>
      <c r="H27" s="340"/>
      <c r="I27" s="340"/>
      <c r="J27" s="340"/>
      <c r="K27" s="340"/>
      <c r="L27" s="340"/>
      <c r="M27" s="340"/>
      <c r="N27" s="340"/>
      <c r="O27" s="340"/>
      <c r="P27" s="340"/>
      <c r="Q27" s="340"/>
      <c r="R27" s="340"/>
      <c r="S27" s="340"/>
      <c r="T27" s="340"/>
      <c r="U27" s="340"/>
      <c r="V27" s="341"/>
      <c r="W27" s="341"/>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row>
    <row r="29" spans="1:60">
      <c r="C29" s="691"/>
      <c r="D29" s="691"/>
    </row>
    <row r="30" spans="1:60">
      <c r="C30" s="691"/>
      <c r="D30" s="691"/>
    </row>
    <row r="31" spans="1:60">
      <c r="C31" s="691"/>
      <c r="D31" s="691"/>
    </row>
    <row r="32" spans="1:60">
      <c r="C32" s="150" t="s">
        <v>293</v>
      </c>
      <c r="D32" s="150" t="s">
        <v>2625</v>
      </c>
    </row>
    <row r="33" spans="2:60">
      <c r="C33" s="76" t="s">
        <v>1622</v>
      </c>
      <c r="D33" s="77" t="s">
        <v>1904</v>
      </c>
      <c r="E33" s="79" t="s">
        <v>1626</v>
      </c>
      <c r="F33" s="79" t="s">
        <v>1627</v>
      </c>
      <c r="P33" s="76" t="s">
        <v>1622</v>
      </c>
      <c r="Q33" s="77" t="s">
        <v>1904</v>
      </c>
      <c r="R33" s="79" t="s">
        <v>1626</v>
      </c>
      <c r="S33" s="79" t="s">
        <v>1627</v>
      </c>
      <c r="AL33" s="451"/>
      <c r="AM33" s="451"/>
      <c r="AT33" s="387"/>
      <c r="AU33" s="387"/>
      <c r="AV33" s="387"/>
      <c r="AW33" s="387"/>
      <c r="AX33" s="387"/>
      <c r="AY33" s="387"/>
      <c r="AZ33" s="387"/>
      <c r="BA33" s="387"/>
      <c r="BB33" s="387"/>
      <c r="BC33" s="387"/>
      <c r="BD33" s="387"/>
      <c r="BE33" s="387"/>
      <c r="BF33" s="387"/>
      <c r="BG33" s="387"/>
      <c r="BH33" s="387"/>
    </row>
    <row r="34" spans="2:60" ht="103" customHeight="1">
      <c r="B34" s="828"/>
      <c r="C34" s="726" t="s">
        <v>3161</v>
      </c>
      <c r="D34" s="727">
        <v>6560.4299999999994</v>
      </c>
      <c r="E34" s="730">
        <f>G22+H22</f>
        <v>600</v>
      </c>
      <c r="F34" s="730">
        <f t="shared" ref="F34:F36" si="14">D34-E34</f>
        <v>5960.4299999999994</v>
      </c>
      <c r="G34" s="801">
        <f>D34-E34</f>
        <v>5960.4299999999994</v>
      </c>
      <c r="P34" s="726" t="s">
        <v>3161</v>
      </c>
      <c r="Q34" s="727">
        <f>F22</f>
        <v>6560.4299999999994</v>
      </c>
      <c r="R34" s="730">
        <f>N22</f>
        <v>600</v>
      </c>
      <c r="S34" s="730">
        <f t="shared" ref="S34:S36" si="15">Q34-R34</f>
        <v>5960.4299999999994</v>
      </c>
      <c r="AL34"/>
      <c r="AM34"/>
      <c r="AT34" s="387"/>
      <c r="AU34" s="387"/>
      <c r="AV34" s="387"/>
      <c r="AW34" s="387"/>
      <c r="AX34" s="387"/>
      <c r="AY34" s="387"/>
      <c r="AZ34" s="387"/>
      <c r="BA34" s="387"/>
      <c r="BB34" s="387"/>
      <c r="BC34" s="387"/>
      <c r="BD34" s="387"/>
      <c r="BE34" s="387"/>
      <c r="BF34" s="387"/>
      <c r="BG34" s="387"/>
      <c r="BH34" s="387"/>
    </row>
    <row r="35" spans="2:60" ht="64.5" customHeight="1">
      <c r="C35" s="726" t="s">
        <v>3172</v>
      </c>
      <c r="D35" s="727">
        <v>10934.050000000001</v>
      </c>
      <c r="E35" s="730">
        <f>G21+H21</f>
        <v>7400</v>
      </c>
      <c r="F35" s="730">
        <f t="shared" si="14"/>
        <v>3534.0500000000011</v>
      </c>
      <c r="P35" s="726" t="s">
        <v>3172</v>
      </c>
      <c r="Q35" s="727">
        <f>F21</f>
        <v>10934.050000000001</v>
      </c>
      <c r="R35" s="730">
        <f>N21</f>
        <v>7400</v>
      </c>
      <c r="S35" s="730">
        <f t="shared" si="15"/>
        <v>3534.0500000000011</v>
      </c>
      <c r="T35" s="59">
        <f>Q36-R36</f>
        <v>23779.085675779846</v>
      </c>
      <c r="AL35"/>
      <c r="AM35"/>
    </row>
    <row r="36" spans="2:60" ht="93">
      <c r="C36" s="725" t="s">
        <v>2968</v>
      </c>
      <c r="D36" s="728">
        <v>28428.530000000002</v>
      </c>
      <c r="E36" s="729">
        <f>G20+H20</f>
        <v>1296</v>
      </c>
      <c r="F36" s="729">
        <f t="shared" si="14"/>
        <v>27132.530000000002</v>
      </c>
      <c r="G36" s="59"/>
      <c r="P36" s="725" t="s">
        <v>2968</v>
      </c>
      <c r="Q36" s="728">
        <f>F20</f>
        <v>57760.085675779846</v>
      </c>
      <c r="R36" s="729">
        <f>N20</f>
        <v>33981</v>
      </c>
      <c r="S36" s="729">
        <f t="shared" si="15"/>
        <v>23779.085675779846</v>
      </c>
      <c r="AL36"/>
      <c r="AM36"/>
    </row>
    <row r="37" spans="2:60" ht="108.5">
      <c r="C37" s="75" t="s">
        <v>2482</v>
      </c>
      <c r="D37" s="82">
        <v>218681</v>
      </c>
      <c r="E37" s="82">
        <f>G19+H19</f>
        <v>82457</v>
      </c>
      <c r="F37" s="82">
        <f>D37-E37</f>
        <v>136224</v>
      </c>
      <c r="H37" s="59"/>
      <c r="P37" s="75" t="s">
        <v>2482</v>
      </c>
      <c r="Q37" s="82">
        <f>F19</f>
        <v>511996.55675779848</v>
      </c>
      <c r="R37" s="82">
        <f>N19</f>
        <v>169337</v>
      </c>
      <c r="S37" s="82">
        <f>Q37-R37</f>
        <v>342659.55675779848</v>
      </c>
      <c r="X37" s="59">
        <f>SUM(X34:X36)</f>
        <v>0</v>
      </c>
      <c r="AP37" s="59"/>
    </row>
    <row r="38" spans="2:60" ht="77.5">
      <c r="C38" s="74" t="s">
        <v>2483</v>
      </c>
      <c r="D38" s="81">
        <v>218681</v>
      </c>
      <c r="E38" s="81">
        <f>G18+H18</f>
        <v>122220</v>
      </c>
      <c r="F38" s="81">
        <f>D38-E38</f>
        <v>96461</v>
      </c>
      <c r="P38" s="74" t="s">
        <v>2483</v>
      </c>
      <c r="Q38" s="81">
        <f>F18</f>
        <v>277344.1113515597</v>
      </c>
      <c r="R38" s="81">
        <f>N18</f>
        <v>146258</v>
      </c>
      <c r="S38" s="81">
        <f>Q38-R38</f>
        <v>131086.1113515597</v>
      </c>
    </row>
    <row r="39" spans="2:60" ht="93">
      <c r="C39" s="78" t="s">
        <v>2484</v>
      </c>
      <c r="D39" s="80">
        <v>218681</v>
      </c>
      <c r="E39" s="80">
        <f>G17+H17</f>
        <v>146453</v>
      </c>
      <c r="F39" s="80">
        <f>D39-E39</f>
        <v>72228</v>
      </c>
      <c r="P39" s="78" t="s">
        <v>2484</v>
      </c>
      <c r="Q39" s="80">
        <f>F17</f>
        <v>453333.44540623878</v>
      </c>
      <c r="R39" s="80">
        <f>N17</f>
        <v>228905</v>
      </c>
      <c r="S39" s="80">
        <f>Q39-R39</f>
        <v>224428.44540623878</v>
      </c>
      <c r="V39"/>
      <c r="W39"/>
    </row>
    <row r="42" spans="2:60">
      <c r="C42"/>
      <c r="D42"/>
      <c r="E42" s="59"/>
    </row>
    <row r="49" spans="3:4">
      <c r="C49"/>
      <c r="D49"/>
    </row>
    <row r="50" spans="3:4">
      <c r="C50"/>
      <c r="D50"/>
    </row>
    <row r="51" spans="3:4">
      <c r="C51"/>
      <c r="D51"/>
    </row>
    <row r="52" spans="3:4">
      <c r="C52"/>
      <c r="D52"/>
    </row>
  </sheetData>
  <mergeCells count="2">
    <mergeCell ref="K4:M5"/>
    <mergeCell ref="S15:U15"/>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25"/>
  <sheetViews>
    <sheetView topLeftCell="D1" workbookViewId="0">
      <selection activeCell="P8" sqref="P8"/>
    </sheetView>
  </sheetViews>
  <sheetFormatPr defaultRowHeight="15.5"/>
  <cols>
    <col min="1" max="1" width="14" customWidth="1"/>
    <col min="3" max="5" width="11.08203125" bestFit="1" customWidth="1"/>
    <col min="6" max="6" width="9.08203125" bestFit="1" customWidth="1"/>
    <col min="7" max="7" width="10.08203125" bestFit="1" customWidth="1"/>
    <col min="8" max="8" width="13.58203125" customWidth="1"/>
    <col min="9" max="9" width="12.9140625" customWidth="1"/>
    <col min="10" max="10" width="14.75" customWidth="1"/>
    <col min="11" max="11" width="9.9140625" customWidth="1"/>
    <col min="12" max="12" width="14.58203125" customWidth="1"/>
    <col min="13" max="13" width="12.58203125" customWidth="1"/>
    <col min="14" max="14" width="11.83203125" customWidth="1"/>
  </cols>
  <sheetData>
    <row r="1" spans="1:14">
      <c r="C1" s="57"/>
      <c r="D1" s="57"/>
      <c r="E1" s="57"/>
      <c r="F1" s="57"/>
      <c r="G1" s="57"/>
      <c r="H1" s="57"/>
      <c r="I1" s="57"/>
    </row>
    <row r="2" spans="1:14" s="751" customFormat="1">
      <c r="A2" s="387" t="s">
        <v>34</v>
      </c>
      <c r="B2" s="57" t="s">
        <v>34</v>
      </c>
      <c r="C2" s="751">
        <f>SUM(C4:C27)</f>
        <v>112425</v>
      </c>
      <c r="D2" s="751">
        <f t="shared" ref="D2:N2" si="0">SUM(D4:D27)</f>
        <v>97852</v>
      </c>
      <c r="E2" s="751">
        <f t="shared" si="0"/>
        <v>51806</v>
      </c>
      <c r="F2" s="751">
        <f t="shared" si="0"/>
        <v>1272</v>
      </c>
      <c r="G2" s="751">
        <f t="shared" si="0"/>
        <v>7400</v>
      </c>
      <c r="H2" s="751">
        <f t="shared" si="0"/>
        <v>600</v>
      </c>
      <c r="I2" s="751">
        <f t="shared" si="0"/>
        <v>50574.624535315983</v>
      </c>
      <c r="J2" s="751">
        <f t="shared" si="0"/>
        <v>26581</v>
      </c>
      <c r="K2" s="751">
        <f t="shared" si="0"/>
        <v>197</v>
      </c>
      <c r="L2" s="751">
        <f t="shared" si="0"/>
        <v>0</v>
      </c>
      <c r="M2" s="751">
        <f t="shared" si="0"/>
        <v>7400</v>
      </c>
      <c r="N2" s="751">
        <f t="shared" si="0"/>
        <v>600</v>
      </c>
    </row>
    <row r="3" spans="1:14" s="646" customFormat="1">
      <c r="A3"/>
      <c r="B3"/>
      <c r="C3"/>
      <c r="D3"/>
      <c r="E3"/>
      <c r="F3"/>
      <c r="G3"/>
      <c r="H3"/>
      <c r="I3"/>
      <c r="J3"/>
      <c r="K3"/>
      <c r="L3"/>
      <c r="M3"/>
    </row>
    <row r="4" spans="1:14" ht="128" customHeight="1">
      <c r="A4" s="57"/>
      <c r="B4" s="885" t="s">
        <v>3036</v>
      </c>
      <c r="C4" s="896" t="s">
        <v>3037</v>
      </c>
      <c r="D4" s="897" t="s">
        <v>3038</v>
      </c>
      <c r="E4" s="889" t="s">
        <v>3039</v>
      </c>
      <c r="F4" s="898" t="s">
        <v>3040</v>
      </c>
      <c r="G4" s="899" t="s">
        <v>3041</v>
      </c>
      <c r="H4" s="899" t="s">
        <v>3173</v>
      </c>
      <c r="I4" s="891" t="s">
        <v>3042</v>
      </c>
      <c r="J4" s="891" t="s">
        <v>3043</v>
      </c>
      <c r="K4" s="891" t="s">
        <v>3174</v>
      </c>
      <c r="L4" s="891" t="s">
        <v>3175</v>
      </c>
      <c r="M4" s="891" t="s">
        <v>3046</v>
      </c>
      <c r="N4" s="891" t="s">
        <v>3176</v>
      </c>
    </row>
    <row r="5" spans="1:14">
      <c r="A5" s="878" t="s">
        <v>411</v>
      </c>
      <c r="B5" s="884">
        <v>5133</v>
      </c>
      <c r="C5" s="881">
        <v>5133</v>
      </c>
      <c r="D5" s="882">
        <v>3960</v>
      </c>
      <c r="E5" s="883">
        <v>5133</v>
      </c>
      <c r="F5" s="892">
        <v>0</v>
      </c>
      <c r="G5" s="894">
        <v>0</v>
      </c>
      <c r="H5" s="59">
        <v>150</v>
      </c>
      <c r="I5" s="890">
        <v>5133</v>
      </c>
      <c r="J5" s="890">
        <v>5133</v>
      </c>
      <c r="K5" s="59"/>
      <c r="L5" s="59"/>
      <c r="M5" s="59">
        <v>0</v>
      </c>
      <c r="N5" s="59">
        <v>150</v>
      </c>
    </row>
    <row r="6" spans="1:14">
      <c r="A6" s="878" t="s">
        <v>413</v>
      </c>
      <c r="B6" s="884">
        <v>2139</v>
      </c>
      <c r="C6" s="881">
        <v>2139</v>
      </c>
      <c r="D6" s="882">
        <v>2139</v>
      </c>
      <c r="E6" s="883">
        <v>2139</v>
      </c>
      <c r="F6" s="892">
        <v>120</v>
      </c>
      <c r="G6" s="894">
        <v>200</v>
      </c>
      <c r="H6" s="59">
        <v>0</v>
      </c>
      <c r="I6" s="890">
        <v>2139</v>
      </c>
      <c r="J6" s="890">
        <v>133</v>
      </c>
      <c r="K6" s="59"/>
      <c r="L6" s="59"/>
      <c r="M6" s="59">
        <v>200</v>
      </c>
      <c r="N6" s="59">
        <v>0</v>
      </c>
    </row>
    <row r="7" spans="1:14">
      <c r="A7" s="878" t="s">
        <v>424</v>
      </c>
      <c r="B7" s="884">
        <v>4875</v>
      </c>
      <c r="C7" s="881">
        <v>4875</v>
      </c>
      <c r="D7" s="882">
        <v>4875</v>
      </c>
      <c r="E7" s="883">
        <v>4875</v>
      </c>
      <c r="F7" s="892">
        <v>254</v>
      </c>
      <c r="G7" s="894">
        <v>550</v>
      </c>
      <c r="H7" s="59">
        <v>0</v>
      </c>
      <c r="I7" s="890">
        <v>4875</v>
      </c>
      <c r="J7" s="890">
        <v>202</v>
      </c>
      <c r="K7" s="59"/>
      <c r="L7" s="59"/>
      <c r="M7" s="59">
        <v>550</v>
      </c>
      <c r="N7" s="59">
        <v>0</v>
      </c>
    </row>
    <row r="8" spans="1:14">
      <c r="A8" s="878" t="s">
        <v>426</v>
      </c>
      <c r="B8" s="884">
        <v>7033</v>
      </c>
      <c r="C8" s="881">
        <v>7033</v>
      </c>
      <c r="D8" s="882">
        <v>5540</v>
      </c>
      <c r="E8" s="883">
        <v>7033</v>
      </c>
      <c r="F8" s="892">
        <v>328</v>
      </c>
      <c r="G8" s="894">
        <v>0</v>
      </c>
      <c r="H8" s="59">
        <v>0</v>
      </c>
      <c r="I8" s="890">
        <v>7033</v>
      </c>
      <c r="J8" s="890">
        <v>0</v>
      </c>
      <c r="K8" s="59"/>
      <c r="L8" s="59"/>
      <c r="M8" s="59">
        <v>0</v>
      </c>
      <c r="N8" s="59">
        <v>0</v>
      </c>
    </row>
    <row r="9" spans="1:14">
      <c r="A9" s="878" t="s">
        <v>423</v>
      </c>
      <c r="B9" s="884">
        <v>11056</v>
      </c>
      <c r="C9" s="881">
        <v>11056</v>
      </c>
      <c r="D9" s="882">
        <v>9068</v>
      </c>
      <c r="E9" s="883">
        <v>11056</v>
      </c>
      <c r="F9" s="892">
        <v>570</v>
      </c>
      <c r="G9" s="894">
        <v>350</v>
      </c>
      <c r="H9" s="59">
        <v>0</v>
      </c>
      <c r="I9" s="890">
        <v>11056</v>
      </c>
      <c r="J9" s="890">
        <v>213</v>
      </c>
      <c r="K9" s="59"/>
      <c r="L9" s="59"/>
      <c r="M9" s="59">
        <v>350</v>
      </c>
      <c r="N9" s="59">
        <v>0</v>
      </c>
    </row>
    <row r="10" spans="1:14">
      <c r="A10" s="878" t="s">
        <v>2271</v>
      </c>
      <c r="B10" s="884">
        <v>2248</v>
      </c>
      <c r="C10" s="881">
        <v>2248</v>
      </c>
      <c r="D10" s="882">
        <v>2248</v>
      </c>
      <c r="E10" s="883">
        <v>0</v>
      </c>
      <c r="F10" s="892">
        <v>0</v>
      </c>
      <c r="G10" s="894">
        <v>200</v>
      </c>
      <c r="H10" s="59">
        <v>0</v>
      </c>
      <c r="I10" s="890">
        <v>0</v>
      </c>
      <c r="J10" s="890">
        <v>0</v>
      </c>
      <c r="K10" s="59"/>
      <c r="L10" s="59"/>
      <c r="M10" s="59">
        <v>200</v>
      </c>
      <c r="N10" s="59">
        <v>0</v>
      </c>
    </row>
    <row r="11" spans="1:14">
      <c r="A11" s="878" t="s">
        <v>2272</v>
      </c>
      <c r="B11" s="884">
        <v>2186</v>
      </c>
      <c r="C11" s="881">
        <v>2186</v>
      </c>
      <c r="D11" s="882">
        <v>2186</v>
      </c>
      <c r="E11" s="883">
        <v>0</v>
      </c>
      <c r="F11" s="892">
        <v>0</v>
      </c>
      <c r="G11" s="894">
        <v>150</v>
      </c>
      <c r="H11" s="59">
        <v>0</v>
      </c>
      <c r="I11" s="890">
        <v>0</v>
      </c>
      <c r="J11" s="890">
        <v>0</v>
      </c>
      <c r="K11" s="59"/>
      <c r="L11" s="59"/>
      <c r="M11" s="59">
        <v>150</v>
      </c>
      <c r="N11" s="59">
        <v>0</v>
      </c>
    </row>
    <row r="12" spans="1:14">
      <c r="A12" s="878" t="s">
        <v>367</v>
      </c>
      <c r="B12" s="884">
        <v>1067</v>
      </c>
      <c r="C12" s="881">
        <v>1067</v>
      </c>
      <c r="D12" s="882">
        <v>1067</v>
      </c>
      <c r="E12" s="883">
        <v>1067</v>
      </c>
      <c r="F12" s="892">
        <v>0</v>
      </c>
      <c r="G12" s="894">
        <v>400</v>
      </c>
      <c r="H12" s="59">
        <v>0</v>
      </c>
      <c r="I12" s="890">
        <v>1067</v>
      </c>
      <c r="J12" s="890">
        <v>397</v>
      </c>
      <c r="K12" s="59">
        <v>197</v>
      </c>
      <c r="L12" s="59">
        <v>0</v>
      </c>
      <c r="M12" s="59">
        <v>400</v>
      </c>
      <c r="N12" s="59">
        <v>0</v>
      </c>
    </row>
    <row r="13" spans="1:14">
      <c r="A13" s="878" t="s">
        <v>409</v>
      </c>
      <c r="B13" s="884">
        <v>6674</v>
      </c>
      <c r="C13" s="881">
        <v>6674</v>
      </c>
      <c r="D13" s="882">
        <v>4669</v>
      </c>
      <c r="E13" s="883">
        <v>6674</v>
      </c>
      <c r="F13" s="892">
        <v>0</v>
      </c>
      <c r="G13" s="894">
        <v>0</v>
      </c>
      <c r="H13" s="59">
        <v>150</v>
      </c>
      <c r="I13" s="890">
        <v>6674</v>
      </c>
      <c r="J13" s="890">
        <v>6674</v>
      </c>
      <c r="K13" s="59"/>
      <c r="L13" s="59"/>
      <c r="M13" s="59">
        <v>0</v>
      </c>
      <c r="N13" s="59">
        <v>150</v>
      </c>
    </row>
    <row r="14" spans="1:14">
      <c r="A14" s="878" t="s">
        <v>430</v>
      </c>
      <c r="B14" s="884">
        <v>3486</v>
      </c>
      <c r="C14" s="881">
        <v>3486</v>
      </c>
      <c r="D14" s="882">
        <v>3486</v>
      </c>
      <c r="E14" s="883">
        <v>0</v>
      </c>
      <c r="F14" s="892">
        <v>0</v>
      </c>
      <c r="G14" s="894">
        <v>400</v>
      </c>
      <c r="H14" s="59">
        <v>0</v>
      </c>
      <c r="I14" s="890">
        <v>0</v>
      </c>
      <c r="J14" s="890">
        <v>0</v>
      </c>
      <c r="K14" s="59"/>
      <c r="L14" s="59"/>
      <c r="M14" s="59">
        <v>400</v>
      </c>
      <c r="N14" s="59">
        <v>0</v>
      </c>
    </row>
    <row r="15" spans="1:14">
      <c r="A15" s="878" t="s">
        <v>405</v>
      </c>
      <c r="B15" s="884">
        <v>5024</v>
      </c>
      <c r="C15" s="881">
        <v>5024</v>
      </c>
      <c r="D15" s="882">
        <v>3040</v>
      </c>
      <c r="E15" s="883">
        <v>5024</v>
      </c>
      <c r="F15" s="892">
        <v>0</v>
      </c>
      <c r="G15" s="894">
        <v>0</v>
      </c>
      <c r="H15" s="59">
        <v>100</v>
      </c>
      <c r="I15" s="890">
        <v>4944.6245353159848</v>
      </c>
      <c r="J15" s="890">
        <v>5024</v>
      </c>
      <c r="K15" s="59"/>
      <c r="L15" s="59"/>
      <c r="M15" s="59">
        <v>0</v>
      </c>
      <c r="N15" s="59">
        <v>100</v>
      </c>
    </row>
    <row r="16" spans="1:14">
      <c r="A16" s="878" t="s">
        <v>406</v>
      </c>
      <c r="B16" s="884">
        <v>5137</v>
      </c>
      <c r="C16" s="881">
        <v>5137</v>
      </c>
      <c r="D16" s="882">
        <v>3720</v>
      </c>
      <c r="E16" s="883">
        <v>5137</v>
      </c>
      <c r="F16" s="892">
        <v>0</v>
      </c>
      <c r="G16" s="894">
        <v>0</v>
      </c>
      <c r="H16" s="59">
        <v>150</v>
      </c>
      <c r="I16" s="890">
        <v>5137</v>
      </c>
      <c r="J16" s="890">
        <v>5137</v>
      </c>
      <c r="K16" s="59"/>
      <c r="L16" s="59"/>
      <c r="M16" s="59">
        <v>0</v>
      </c>
      <c r="N16" s="59">
        <v>150</v>
      </c>
    </row>
    <row r="17" spans="1:14">
      <c r="A17" s="878" t="s">
        <v>440</v>
      </c>
      <c r="B17" s="884">
        <v>3095</v>
      </c>
      <c r="C17" s="881">
        <v>3095</v>
      </c>
      <c r="D17" s="882">
        <v>2819</v>
      </c>
      <c r="E17" s="883">
        <v>0</v>
      </c>
      <c r="F17" s="892">
        <v>0</v>
      </c>
      <c r="G17" s="894">
        <v>100</v>
      </c>
      <c r="H17" s="59">
        <v>0</v>
      </c>
      <c r="I17" s="890">
        <v>0</v>
      </c>
      <c r="J17" s="890">
        <v>0</v>
      </c>
      <c r="K17" s="59"/>
      <c r="L17" s="59"/>
      <c r="M17" s="59">
        <v>100</v>
      </c>
      <c r="N17" s="59">
        <v>0</v>
      </c>
    </row>
    <row r="18" spans="1:14">
      <c r="A18" s="878" t="s">
        <v>431</v>
      </c>
      <c r="B18" s="884">
        <v>13302</v>
      </c>
      <c r="C18" s="881">
        <v>13302</v>
      </c>
      <c r="D18" s="882">
        <v>11440</v>
      </c>
      <c r="E18" s="883">
        <v>0</v>
      </c>
      <c r="F18" s="892">
        <v>0</v>
      </c>
      <c r="G18" s="894">
        <v>1700</v>
      </c>
      <c r="H18" s="59">
        <v>0</v>
      </c>
      <c r="I18" s="890">
        <v>0</v>
      </c>
      <c r="J18" s="890">
        <v>0</v>
      </c>
      <c r="K18" s="59"/>
      <c r="L18" s="59"/>
      <c r="M18" s="59">
        <v>1700</v>
      </c>
      <c r="N18" s="59">
        <v>0</v>
      </c>
    </row>
    <row r="19" spans="1:14">
      <c r="A19" s="878" t="s">
        <v>429</v>
      </c>
      <c r="B19" s="884">
        <v>11478</v>
      </c>
      <c r="C19" s="881">
        <v>11478</v>
      </c>
      <c r="D19" s="882">
        <v>11478</v>
      </c>
      <c r="E19" s="883">
        <v>0</v>
      </c>
      <c r="F19" s="892">
        <v>0</v>
      </c>
      <c r="G19" s="894">
        <v>0</v>
      </c>
      <c r="H19" s="59">
        <v>0</v>
      </c>
      <c r="I19" s="890">
        <v>0</v>
      </c>
      <c r="J19" s="890">
        <v>0</v>
      </c>
      <c r="K19" s="59"/>
      <c r="L19" s="59"/>
      <c r="M19" s="59">
        <v>0</v>
      </c>
      <c r="N19" s="59">
        <v>0</v>
      </c>
    </row>
    <row r="20" spans="1:14">
      <c r="A20" s="878" t="s">
        <v>2273</v>
      </c>
      <c r="B20" s="884">
        <v>2446</v>
      </c>
      <c r="C20" s="881">
        <v>2446</v>
      </c>
      <c r="D20" s="882">
        <v>2446</v>
      </c>
      <c r="E20" s="883">
        <v>0</v>
      </c>
      <c r="F20" s="892">
        <v>0</v>
      </c>
      <c r="G20" s="894">
        <v>0</v>
      </c>
      <c r="H20" s="59">
        <v>0</v>
      </c>
      <c r="I20" s="890">
        <v>0</v>
      </c>
      <c r="J20" s="890">
        <v>0</v>
      </c>
      <c r="K20" s="59"/>
      <c r="L20" s="59"/>
      <c r="M20" s="59">
        <v>0</v>
      </c>
      <c r="N20" s="59">
        <v>0</v>
      </c>
    </row>
    <row r="21" spans="1:14">
      <c r="A21" s="878" t="s">
        <v>438</v>
      </c>
      <c r="B21" s="884">
        <v>11564</v>
      </c>
      <c r="C21" s="881">
        <v>11564</v>
      </c>
      <c r="D21" s="882">
        <v>8891</v>
      </c>
      <c r="E21" s="883">
        <v>0</v>
      </c>
      <c r="F21" s="892">
        <v>0</v>
      </c>
      <c r="G21" s="894">
        <v>2000</v>
      </c>
      <c r="H21" s="59">
        <v>0</v>
      </c>
      <c r="I21" s="890">
        <v>0</v>
      </c>
      <c r="J21" s="890">
        <v>0</v>
      </c>
      <c r="K21" s="59"/>
      <c r="L21" s="59"/>
      <c r="M21" s="59">
        <v>2000</v>
      </c>
      <c r="N21" s="59">
        <v>0</v>
      </c>
    </row>
    <row r="22" spans="1:14">
      <c r="A22" s="878" t="s">
        <v>404</v>
      </c>
      <c r="B22" s="884">
        <v>2516</v>
      </c>
      <c r="C22" s="881">
        <v>2516</v>
      </c>
      <c r="D22" s="882">
        <v>2516</v>
      </c>
      <c r="E22" s="883">
        <v>3668</v>
      </c>
      <c r="F22" s="892">
        <v>0</v>
      </c>
      <c r="G22" s="894">
        <v>0</v>
      </c>
      <c r="H22" s="59">
        <v>0</v>
      </c>
      <c r="I22" s="890">
        <v>2516</v>
      </c>
      <c r="J22" s="890">
        <v>3668</v>
      </c>
      <c r="K22" s="59"/>
      <c r="L22" s="59"/>
      <c r="M22" s="59">
        <v>0</v>
      </c>
      <c r="N22" s="59">
        <v>0</v>
      </c>
    </row>
    <row r="23" spans="1:14">
      <c r="A23" s="878" t="s">
        <v>399</v>
      </c>
      <c r="B23" s="884">
        <v>2920</v>
      </c>
      <c r="C23" s="881">
        <v>0</v>
      </c>
      <c r="D23" s="882">
        <v>2920</v>
      </c>
      <c r="E23" s="883">
        <v>0</v>
      </c>
      <c r="F23" s="892">
        <v>0</v>
      </c>
      <c r="G23" s="894">
        <v>200</v>
      </c>
      <c r="H23" s="59">
        <v>50</v>
      </c>
      <c r="I23" s="890">
        <v>0</v>
      </c>
      <c r="J23" s="890">
        <v>0</v>
      </c>
      <c r="K23" s="59"/>
      <c r="L23" s="59"/>
      <c r="M23" s="59">
        <v>200</v>
      </c>
      <c r="N23" s="59">
        <v>50</v>
      </c>
    </row>
    <row r="24" spans="1:14">
      <c r="A24" s="878" t="s">
        <v>421</v>
      </c>
      <c r="B24" s="884">
        <v>6016</v>
      </c>
      <c r="C24" s="881">
        <v>6016</v>
      </c>
      <c r="D24" s="882">
        <v>4386</v>
      </c>
      <c r="E24" s="883">
        <v>0</v>
      </c>
      <c r="F24" s="892">
        <v>0</v>
      </c>
      <c r="G24" s="894">
        <v>100</v>
      </c>
      <c r="H24" s="59">
        <v>0</v>
      </c>
      <c r="I24" s="890">
        <v>0</v>
      </c>
      <c r="J24" s="890">
        <v>0</v>
      </c>
      <c r="K24" s="59"/>
      <c r="L24" s="59"/>
      <c r="M24" s="59">
        <v>100</v>
      </c>
      <c r="N24" s="59">
        <v>0</v>
      </c>
    </row>
    <row r="25" spans="1:14">
      <c r="A25" s="878" t="s">
        <v>425</v>
      </c>
      <c r="B25" s="884">
        <v>5950</v>
      </c>
      <c r="C25" s="881">
        <v>5950</v>
      </c>
      <c r="D25" s="882">
        <v>4958</v>
      </c>
      <c r="E25" s="883">
        <v>0</v>
      </c>
      <c r="F25" s="892">
        <v>0</v>
      </c>
      <c r="G25" s="894">
        <v>1050</v>
      </c>
      <c r="H25" s="59">
        <v>0</v>
      </c>
      <c r="I25" s="890">
        <v>0</v>
      </c>
      <c r="J25" s="890">
        <v>0</v>
      </c>
      <c r="K25" s="59"/>
      <c r="L25" s="59"/>
      <c r="M25" s="59">
        <v>1050</v>
      </c>
      <c r="N25" s="5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861788-ED93-4B7C-8F10-174B4335B2A6}">
  <ds:schemaRefs>
    <ds:schemaRef ds:uri="http://schemas.openxmlformats.org/package/2006/metadata/core-properties"/>
    <ds:schemaRef ds:uri="http://www.w3.org/XML/1998/namespace"/>
    <ds:schemaRef ds:uri="http://schemas.microsoft.com/office/2006/documentManagement/types"/>
    <ds:schemaRef ds:uri="http://purl.org/dc/elements/1.1/"/>
    <ds:schemaRef ds:uri="http://purl.org/dc/dcmitype/"/>
    <ds:schemaRef ds:uri="http://purl.org/dc/terms/"/>
    <ds:schemaRef ds:uri="http://schemas.microsoft.com/office/2006/metadata/properties"/>
    <ds:schemaRef ds:uri="c1e8bc90-1dd2-4fc1-b7db-01d315126b7d"/>
    <ds:schemaRef ds:uri="http://schemas.microsoft.com/office/infopath/2007/PartnerControls"/>
    <ds:schemaRef ds:uri="55745663-ec1a-49f5-8757-f8c4d8910d9c"/>
  </ds:schemaRefs>
</ds:datastoreItem>
</file>

<file path=customXml/itemProps2.xml><?xml version="1.0" encoding="utf-8"?>
<ds:datastoreItem xmlns:ds="http://schemas.openxmlformats.org/officeDocument/2006/customXml" ds:itemID="{48D76329-BD9D-4A97-82CE-C1710EDD4DDB}">
  <ds:schemaRefs>
    <ds:schemaRef ds:uri="http://schemas.microsoft.com/sharepoint/v3/contenttype/forms"/>
  </ds:schemaRefs>
</ds:datastoreItem>
</file>

<file path=customXml/itemProps3.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Guide</vt:lpstr>
      <vt:lpstr>Sheet1</vt:lpstr>
      <vt:lpstr>DATABASE</vt:lpstr>
      <vt:lpstr>Site_DB</vt:lpstr>
      <vt:lpstr>HRP Calculations</vt:lpstr>
      <vt:lpstr>Indicator Summary  Eng</vt:lpstr>
      <vt:lpstr>Indicator Summary  MM</vt:lpstr>
      <vt:lpstr>HRP</vt:lpstr>
      <vt:lpstr>HRP_ref</vt:lpstr>
      <vt:lpstr>Sheet2</vt:lpstr>
      <vt:lpstr>Analysis</vt:lpstr>
      <vt:lpstr>Quarterly Dashboard</vt:lpstr>
      <vt:lpstr>Rakhine</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2022-04-28T04:16:30Z</cp:lastPrinted>
  <dcterms:created xsi:type="dcterms:W3CDTF">2016-05-30T15:30:45Z</dcterms:created>
  <dcterms:modified xsi:type="dcterms:W3CDTF">2022-05-09T05:40:00Z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